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4020" yWindow="615" windowWidth="19440" windowHeight="11760" activeTab="1"/>
  </bookViews>
  <sheets>
    <sheet name="Accueil" sheetId="3" r:id="rId1"/>
    <sheet name="Calculs (ressort poussant)" sheetId="1" r:id="rId2"/>
    <sheet name="Croquis" sheetId="2" r:id="rId3"/>
  </sheets>
  <definedNames>
    <definedName name="AB">'Calculs (ressort poussant)'!$J$55:$J$73</definedName>
    <definedName name="ABàZéro">'Calculs (ressort poussant)'!$G$43</definedName>
    <definedName name="ABmaxi">'Calculs (ressort poussant)'!$G$45</definedName>
    <definedName name="ABmini">'Calculs (ressort poussant)'!$G$44</definedName>
    <definedName name="Alerte1">'Calculs (ressort poussant)'!$B$38</definedName>
    <definedName name="Alerte3">'Calculs (ressort poussant)'!$B$33</definedName>
    <definedName name="Alerte4">'Calculs (ressort poussant)'!$B$35</definedName>
    <definedName name="Alpha">'Calculs (ressort poussant)'!$C$55:$C$73</definedName>
    <definedName name="AlphaDegrés">'Calculs (ressort poussant)'!$B$55:$B$73</definedName>
    <definedName name="AlphaMacro">'Calculs (ressort poussant)'!$B$76</definedName>
    <definedName name="AlphaMacroDegrés">'Calculs (ressort poussant)'!$B$78</definedName>
    <definedName name="AlphaMaxDegrés">'Calculs (ressort poussant)'!$B$20</definedName>
    <definedName name="Course">'Calculs (ressort poussant)'!$M$55:$M$73</definedName>
    <definedName name="CourseMaxi">'Calculs (ressort poussant)'!$G$46</definedName>
    <definedName name="Fb">'Calculs (ressort poussant)'!$B$28</definedName>
    <definedName name="Fm">'Calculs (ressort poussant)'!$Q$55:$Q$73</definedName>
    <definedName name="Fmx">'Calculs (ressort poussant)'!$R$55:$R$73</definedName>
    <definedName name="Fmy">'Calculs (ressort poussant)'!$S$55:$S$73</definedName>
    <definedName name="Fo">'Calculs (ressort poussant)'!$B$26</definedName>
    <definedName name="Fressort">'Calculs (ressort poussant)'!$N$55:$N$73</definedName>
    <definedName name="Frx">'Calculs (ressort poussant)'!$O$55:$O$73</definedName>
    <definedName name="Fry">'Calculs (ressort poussant)'!$P$55:$P$73</definedName>
    <definedName name="GardesAvAr">'Calculs (ressort poussant)'!$B$30</definedName>
    <definedName name="K">'Calculs (ressort poussant)'!$G$49</definedName>
    <definedName name="Lb">'Calculs (ressort poussant)'!$C$28</definedName>
    <definedName name="Lo">'Calculs (ressort poussant)'!$C$26</definedName>
    <definedName name="MasseCapot">'Calculs (ressort poussant)'!$B$17</definedName>
    <definedName name="ModOx">'Calculs (ressort poussant)'!$M$49</definedName>
    <definedName name="NbRess">'Calculs (ressort poussant)'!$B$23</definedName>
    <definedName name="NouvXAo">'Calculs (ressort poussant)'!$C$46</definedName>
    <definedName name="NouvXB">'Calculs (ressort poussant)'!$C$48</definedName>
    <definedName name="NouvYAo">'Calculs (ressort poussant)'!$C$47</definedName>
    <definedName name="NouvYB">'Calculs (ressort poussant)'!$C$49</definedName>
    <definedName name="OA">'Calculs (ressort poussant)'!$G$41</definedName>
    <definedName name="OC">'Calculs (ressort poussant)'!$G$48</definedName>
    <definedName name="OG">'Calculs (ressort poussant)'!$G$42</definedName>
    <definedName name="Précourse">'Calculs (ressort poussant)'!$G$47</definedName>
    <definedName name="Rotation">'Calculs (ressort poussant)'!$C$43</definedName>
    <definedName name="RotationAetB">'Calculs (ressort poussant)'!$C$45</definedName>
    <definedName name="RotationSym">'Calculs (ressort poussant)'!$C$44</definedName>
    <definedName name="Rox">'Calculs (ressort poussant)'!$T$55:$T$73</definedName>
    <definedName name="Roy">'Calculs (ressort poussant)'!$U$55:$U$73</definedName>
    <definedName name="solver_adj" localSheetId="1" hidden="1">'Calculs (ressort poussant)'!$C$26,'Calculs (ressort poussant)'!$B$15,'Calculs (ressort poussant)'!$C$15</definedName>
    <definedName name="solver_cvg" localSheetId="1" hidden="1">0.0001</definedName>
    <definedName name="solver_drv" localSheetId="1" hidden="1">1</definedName>
    <definedName name="solver_est" localSheetId="1" hidden="1">1</definedName>
    <definedName name="solver_itr" localSheetId="1" hidden="1">100</definedName>
    <definedName name="solver_lhs0" localSheetId="1" hidden="1">'Calculs (ressort poussant)'!$C$26</definedName>
    <definedName name="solver_lhs1" localSheetId="1" hidden="1">'Calculs (ressort poussant)'!$C$28</definedName>
    <definedName name="solver_lhs2" localSheetId="1" hidden="1">'Calculs (ressort poussant)'!$C$26</definedName>
    <definedName name="solver_lin" localSheetId="1" hidden="1">2</definedName>
    <definedName name="solver_neg" localSheetId="1" hidden="1">2</definedName>
    <definedName name="solver_num" localSheetId="1" hidden="1">2</definedName>
    <definedName name="solver_nwt" localSheetId="1" hidden="1">1</definedName>
    <definedName name="solver_opt" localSheetId="1" hidden="1">'Calculs (ressort poussant)'!$G$45</definedName>
    <definedName name="solver_pre" localSheetId="1" hidden="1">0.000001</definedName>
    <definedName name="solver_rel0" localSheetId="1" hidden="1">3</definedName>
    <definedName name="solver_rel1" localSheetId="1" hidden="1">1</definedName>
    <definedName name="solver_rel2" localSheetId="1" hidden="1">3</definedName>
    <definedName name="solver_rhs0" localSheetId="1" hidden="1">'Calculs (ressort poussant)'!$G$45-1</definedName>
    <definedName name="solver_rhs1" localSheetId="1" hidden="1">ABmini-1</definedName>
    <definedName name="solver_rhs2" localSheetId="1" hidden="1">ABmaxi+1</definedName>
    <definedName name="solver_scl" localSheetId="1" hidden="1">2</definedName>
    <definedName name="solver_sho" localSheetId="1" hidden="1">2</definedName>
    <definedName name="solver_tim" localSheetId="1" hidden="1">100</definedName>
    <definedName name="solver_tol" localSheetId="1" hidden="1">0.05</definedName>
    <definedName name="solver_typ" localSheetId="1" hidden="1">2</definedName>
    <definedName name="solver_val" localSheetId="1" hidden="1">0</definedName>
    <definedName name="XA">'Calculs (ressort poussant)'!$D$55:$D$73</definedName>
    <definedName name="XAo">'Calculs (ressort poussant)'!$B$6</definedName>
    <definedName name="XB">'Calculs (ressort poussant)'!$B$15</definedName>
    <definedName name="xBA">'Calculs (ressort poussant)'!$K$55:$K$73</definedName>
    <definedName name="Xc">'Calculs (ressort poussant)'!$H$55:$H$73</definedName>
    <definedName name="Xco">'Calculs (ressort poussant)'!$B$12</definedName>
    <definedName name="XG">'Calculs (ressort poussant)'!$F$55:$F$73</definedName>
    <definedName name="XGo">'Calculs (ressort poussant)'!$B$9</definedName>
    <definedName name="xOx">'Calculs (ressort poussant)'!$K$49</definedName>
    <definedName name="YA">'Calculs (ressort poussant)'!$E$55:$E$73</definedName>
    <definedName name="YAo">'Calculs (ressort poussant)'!$C$6</definedName>
    <definedName name="YB">'Calculs (ressort poussant)'!$C$15</definedName>
    <definedName name="yBA">'Calculs (ressort poussant)'!$L$55:$L$73</definedName>
    <definedName name="Yc">'Calculs (ressort poussant)'!$I$55:$I$73</definedName>
    <definedName name="YCo">'Calculs (ressort poussant)'!$C$12</definedName>
    <definedName name="YG">'Calculs (ressort poussant)'!$G$55:$G$73</definedName>
    <definedName name="YGo">'Calculs (ressort poussant)'!$C$9</definedName>
    <definedName name="yOx">'Calculs (ressort poussant)'!$L$49</definedName>
  </definedNames>
  <calcPr calcId="145621"/>
</workbook>
</file>

<file path=xl/calcChain.xml><?xml version="1.0" encoding="utf-8"?>
<calcChain xmlns="http://schemas.openxmlformats.org/spreadsheetml/2006/main">
  <c r="C94" i="1" l="1"/>
  <c r="C93" i="1"/>
  <c r="B92" i="1"/>
  <c r="B95" i="1" s="1"/>
  <c r="G48" i="1"/>
  <c r="B38" i="1" s="1"/>
  <c r="B94" i="1" l="1"/>
  <c r="B40" i="1"/>
  <c r="G41" i="1" l="1"/>
  <c r="G43" i="1"/>
  <c r="C55" i="1"/>
  <c r="B56" i="1"/>
  <c r="C56" i="1" s="1"/>
  <c r="C44" i="1"/>
  <c r="C45" i="1" s="1"/>
  <c r="B76" i="1"/>
  <c r="B82" i="1"/>
  <c r="C82" i="1"/>
  <c r="B86" i="1"/>
  <c r="C86" i="1"/>
  <c r="C92" i="1"/>
  <c r="C95" i="1" s="1"/>
  <c r="G49" i="1"/>
  <c r="G42" i="1"/>
  <c r="D55" i="1" l="1"/>
  <c r="I55" i="1"/>
  <c r="H55" i="1"/>
  <c r="G55" i="1"/>
  <c r="E55" i="1"/>
  <c r="F55" i="1"/>
  <c r="F92" i="1"/>
  <c r="F93" i="1"/>
  <c r="E92" i="1"/>
  <c r="B57" i="1"/>
  <c r="E90" i="1"/>
  <c r="E86" i="1"/>
  <c r="F95" i="1"/>
  <c r="E94" i="1"/>
  <c r="F86" i="1"/>
  <c r="E93" i="1"/>
  <c r="F90" i="1"/>
  <c r="F94" i="1"/>
  <c r="E95" i="1"/>
  <c r="F91" i="1"/>
  <c r="E91" i="1"/>
  <c r="C47" i="1"/>
  <c r="E78" i="1"/>
  <c r="E81" i="1" s="1"/>
  <c r="F78" i="1"/>
  <c r="F81" i="1" s="1"/>
  <c r="C49" i="1"/>
  <c r="F82" i="1" s="1"/>
  <c r="C48" i="1"/>
  <c r="E82" i="1" s="1"/>
  <c r="C46" i="1"/>
  <c r="L55" i="1" l="1"/>
  <c r="K55" i="1"/>
  <c r="B58" i="1"/>
  <c r="C57" i="1"/>
  <c r="H56" i="1" l="1"/>
  <c r="D56" i="1"/>
  <c r="F56" i="1"/>
  <c r="I56" i="1"/>
  <c r="E56" i="1"/>
  <c r="G56" i="1"/>
  <c r="B59" i="1"/>
  <c r="C58" i="1"/>
  <c r="H57" i="1" s="1"/>
  <c r="L56" i="1" l="1"/>
  <c r="K56" i="1"/>
  <c r="I57" i="1"/>
  <c r="G57" i="1"/>
  <c r="D57" i="1"/>
  <c r="F57" i="1"/>
  <c r="E57" i="1"/>
  <c r="C59" i="1"/>
  <c r="H58" i="1" s="1"/>
  <c r="B60" i="1"/>
  <c r="E58" i="1"/>
  <c r="D58" i="1"/>
  <c r="K58" i="1" l="1"/>
  <c r="K57" i="1"/>
  <c r="L58" i="1"/>
  <c r="J55" i="1"/>
  <c r="L57" i="1"/>
  <c r="J56" i="1"/>
  <c r="I58" i="1"/>
  <c r="F58" i="1"/>
  <c r="G58" i="1"/>
  <c r="C60" i="1"/>
  <c r="I59" i="1" s="1"/>
  <c r="B61" i="1"/>
  <c r="E59" i="1"/>
  <c r="D59" i="1"/>
  <c r="G59" i="1"/>
  <c r="F59" i="1"/>
  <c r="M55" i="1" l="1"/>
  <c r="N55" i="1" s="1"/>
  <c r="K59" i="1"/>
  <c r="J57" i="1"/>
  <c r="M57" i="1" s="1"/>
  <c r="N57" i="1" s="1"/>
  <c r="L59" i="1"/>
  <c r="M56" i="1"/>
  <c r="N56" i="1" s="1"/>
  <c r="H59" i="1"/>
  <c r="C61" i="1"/>
  <c r="H60" i="1" s="1"/>
  <c r="B62" i="1"/>
  <c r="E60" i="1"/>
  <c r="D60" i="1"/>
  <c r="F60" i="1"/>
  <c r="G60" i="1"/>
  <c r="P57" i="1" l="1"/>
  <c r="O57" i="1"/>
  <c r="P56" i="1"/>
  <c r="O56" i="1"/>
  <c r="P55" i="1"/>
  <c r="O55" i="1"/>
  <c r="K60" i="1"/>
  <c r="J58" i="1"/>
  <c r="L60" i="1"/>
  <c r="I60" i="1"/>
  <c r="B63" i="1"/>
  <c r="C62" i="1"/>
  <c r="I61" i="1" s="1"/>
  <c r="E61" i="1"/>
  <c r="D61" i="1"/>
  <c r="G61" i="1"/>
  <c r="Q55" i="1" l="1"/>
  <c r="S55" i="1" s="1"/>
  <c r="U55" i="1" s="1"/>
  <c r="Q56" i="1"/>
  <c r="R56" i="1" s="1"/>
  <c r="T56" i="1" s="1"/>
  <c r="Q57" i="1"/>
  <c r="S57" i="1" s="1"/>
  <c r="U57" i="1" s="1"/>
  <c r="K61" i="1"/>
  <c r="M58" i="1"/>
  <c r="N58" i="1" s="1"/>
  <c r="J59" i="1"/>
  <c r="L61" i="1"/>
  <c r="H61" i="1"/>
  <c r="F61" i="1"/>
  <c r="B64" i="1"/>
  <c r="C63" i="1"/>
  <c r="I62" i="1" s="1"/>
  <c r="F62" i="1"/>
  <c r="R55" i="1" l="1"/>
  <c r="T55" i="1" s="1"/>
  <c r="V55" i="1" s="1"/>
  <c r="S56" i="1"/>
  <c r="U56" i="1" s="1"/>
  <c r="V56" i="1" s="1"/>
  <c r="P58" i="1"/>
  <c r="O58" i="1"/>
  <c r="M59" i="1"/>
  <c r="N59" i="1" s="1"/>
  <c r="R57" i="1"/>
  <c r="T57" i="1" s="1"/>
  <c r="V57" i="1" s="1"/>
  <c r="D62" i="1"/>
  <c r="G62" i="1"/>
  <c r="H62" i="1"/>
  <c r="E62" i="1"/>
  <c r="B65" i="1"/>
  <c r="C64" i="1"/>
  <c r="H63" i="1" s="1"/>
  <c r="D63" i="1"/>
  <c r="G63" i="1"/>
  <c r="Q58" i="1" l="1"/>
  <c r="R58" i="1" s="1"/>
  <c r="T58" i="1" s="1"/>
  <c r="P59" i="1"/>
  <c r="O59" i="1"/>
  <c r="K63" i="1"/>
  <c r="K62" i="1"/>
  <c r="J60" i="1"/>
  <c r="L62" i="1"/>
  <c r="F63" i="1"/>
  <c r="E63" i="1"/>
  <c r="I63" i="1"/>
  <c r="D64" i="1"/>
  <c r="C65" i="1"/>
  <c r="I64" i="1" s="1"/>
  <c r="B66" i="1"/>
  <c r="S58" i="1" l="1"/>
  <c r="U58" i="1" s="1"/>
  <c r="V58" i="1" s="1"/>
  <c r="Q59" i="1"/>
  <c r="K64" i="1"/>
  <c r="M60" i="1"/>
  <c r="N60" i="1" s="1"/>
  <c r="J61" i="1"/>
  <c r="M61" i="1" s="1"/>
  <c r="N61" i="1" s="1"/>
  <c r="L63" i="1"/>
  <c r="J62" i="1"/>
  <c r="M62" i="1" s="1"/>
  <c r="N62" i="1" s="1"/>
  <c r="G64" i="1"/>
  <c r="F64" i="1"/>
  <c r="E64" i="1"/>
  <c r="H64" i="1"/>
  <c r="E65" i="1"/>
  <c r="C66" i="1"/>
  <c r="H65" i="1" s="1"/>
  <c r="B67" i="1"/>
  <c r="P61" i="1" l="1"/>
  <c r="O61" i="1"/>
  <c r="P60" i="1"/>
  <c r="O60" i="1"/>
  <c r="P62" i="1"/>
  <c r="O62" i="1"/>
  <c r="L65" i="1"/>
  <c r="L64" i="1"/>
  <c r="S59" i="1"/>
  <c r="U59" i="1" s="1"/>
  <c r="R59" i="1"/>
  <c r="T59" i="1" s="1"/>
  <c r="J63" i="1"/>
  <c r="G65" i="1"/>
  <c r="I65" i="1"/>
  <c r="F65" i="1"/>
  <c r="D65" i="1"/>
  <c r="C67" i="1"/>
  <c r="H66" i="1" s="1"/>
  <c r="B68" i="1"/>
  <c r="E66" i="1"/>
  <c r="G66" i="1"/>
  <c r="D66" i="1"/>
  <c r="F66" i="1"/>
  <c r="Q62" i="1" l="1"/>
  <c r="S62" i="1" s="1"/>
  <c r="U62" i="1" s="1"/>
  <c r="Q60" i="1"/>
  <c r="S60" i="1" s="1"/>
  <c r="U60" i="1" s="1"/>
  <c r="Q61" i="1"/>
  <c r="R61" i="1" s="1"/>
  <c r="T61" i="1" s="1"/>
  <c r="K66" i="1"/>
  <c r="K65" i="1"/>
  <c r="V59" i="1"/>
  <c r="J64" i="1"/>
  <c r="M64" i="1" s="1"/>
  <c r="N64" i="1" s="1"/>
  <c r="L66" i="1"/>
  <c r="M63" i="1"/>
  <c r="N63" i="1" s="1"/>
  <c r="I66" i="1"/>
  <c r="B69" i="1"/>
  <c r="C68" i="1"/>
  <c r="H67" i="1" s="1"/>
  <c r="E67" i="1"/>
  <c r="F67" i="1"/>
  <c r="D67" i="1"/>
  <c r="G67" i="1"/>
  <c r="R62" i="1" l="1"/>
  <c r="T62" i="1" s="1"/>
  <c r="V62" i="1" s="1"/>
  <c r="S61" i="1"/>
  <c r="U61" i="1" s="1"/>
  <c r="V61" i="1" s="1"/>
  <c r="R60" i="1"/>
  <c r="T60" i="1" s="1"/>
  <c r="V60" i="1" s="1"/>
  <c r="P64" i="1"/>
  <c r="O64" i="1"/>
  <c r="P63" i="1"/>
  <c r="O63" i="1"/>
  <c r="K67" i="1"/>
  <c r="J65" i="1"/>
  <c r="M65" i="1" s="1"/>
  <c r="N65" i="1" s="1"/>
  <c r="L67" i="1"/>
  <c r="I67" i="1"/>
  <c r="B70" i="1"/>
  <c r="C69" i="1"/>
  <c r="I68" i="1" s="1"/>
  <c r="E68" i="1"/>
  <c r="D68" i="1"/>
  <c r="G68" i="1"/>
  <c r="F68" i="1"/>
  <c r="Q63" i="1" l="1"/>
  <c r="S63" i="1" s="1"/>
  <c r="U63" i="1" s="1"/>
  <c r="Q64" i="1"/>
  <c r="S64" i="1" s="1"/>
  <c r="U64" i="1" s="1"/>
  <c r="P65" i="1"/>
  <c r="O65" i="1"/>
  <c r="K68" i="1"/>
  <c r="J66" i="1"/>
  <c r="L68" i="1"/>
  <c r="H68" i="1"/>
  <c r="C70" i="1"/>
  <c r="H69" i="1" s="1"/>
  <c r="B71" i="1"/>
  <c r="E69" i="1"/>
  <c r="R64" i="1" l="1"/>
  <c r="T64" i="1" s="1"/>
  <c r="V64" i="1" s="1"/>
  <c r="Q65" i="1"/>
  <c r="S65" i="1" s="1"/>
  <c r="U65" i="1" s="1"/>
  <c r="M66" i="1"/>
  <c r="N66" i="1" s="1"/>
  <c r="J67" i="1"/>
  <c r="L69" i="1"/>
  <c r="R63" i="1"/>
  <c r="T63" i="1" s="1"/>
  <c r="V63" i="1" s="1"/>
  <c r="G69" i="1"/>
  <c r="I69" i="1"/>
  <c r="F69" i="1"/>
  <c r="D69" i="1"/>
  <c r="C71" i="1"/>
  <c r="I70" i="1" s="1"/>
  <c r="B72" i="1"/>
  <c r="D70" i="1"/>
  <c r="F70" i="1"/>
  <c r="G70" i="1"/>
  <c r="E70" i="1"/>
  <c r="P66" i="1" l="1"/>
  <c r="O66" i="1"/>
  <c r="K70" i="1"/>
  <c r="K69" i="1"/>
  <c r="M67" i="1"/>
  <c r="N67" i="1" s="1"/>
  <c r="J68" i="1"/>
  <c r="L70" i="1"/>
  <c r="R65" i="1"/>
  <c r="T65" i="1" s="1"/>
  <c r="V65" i="1" s="1"/>
  <c r="H70" i="1"/>
  <c r="C72" i="1"/>
  <c r="H71" i="1" s="1"/>
  <c r="B73" i="1"/>
  <c r="C73" i="1" s="1"/>
  <c r="Q66" i="1" l="1"/>
  <c r="S66" i="1" s="1"/>
  <c r="U66" i="1" s="1"/>
  <c r="P67" i="1"/>
  <c r="O67" i="1"/>
  <c r="M68" i="1"/>
  <c r="N68" i="1" s="1"/>
  <c r="G71" i="1"/>
  <c r="E71" i="1"/>
  <c r="I71" i="1"/>
  <c r="F71" i="1"/>
  <c r="D71" i="1"/>
  <c r="H73" i="1"/>
  <c r="I73" i="1"/>
  <c r="H72" i="1"/>
  <c r="I72" i="1"/>
  <c r="E73" i="1"/>
  <c r="F73" i="1"/>
  <c r="D73" i="1"/>
  <c r="G73" i="1"/>
  <c r="E72" i="1"/>
  <c r="D72" i="1"/>
  <c r="F72" i="1"/>
  <c r="G72" i="1"/>
  <c r="Q67" i="1" l="1"/>
  <c r="R67" i="1" s="1"/>
  <c r="T67" i="1" s="1"/>
  <c r="R66" i="1"/>
  <c r="T66" i="1" s="1"/>
  <c r="V66" i="1" s="1"/>
  <c r="P68" i="1"/>
  <c r="O68" i="1"/>
  <c r="K72" i="1"/>
  <c r="K71" i="1"/>
  <c r="L72" i="1"/>
  <c r="K73" i="1"/>
  <c r="L73" i="1"/>
  <c r="J69" i="1"/>
  <c r="L71" i="1"/>
  <c r="J70" i="1"/>
  <c r="J71" i="1"/>
  <c r="M71" i="1" s="1"/>
  <c r="N71" i="1" s="1"/>
  <c r="J72" i="1"/>
  <c r="M72" i="1" s="1"/>
  <c r="N72" i="1" s="1"/>
  <c r="J73" i="1"/>
  <c r="S67" i="1" l="1"/>
  <c r="U67" i="1" s="1"/>
  <c r="V67" i="1" s="1"/>
  <c r="Q68" i="1"/>
  <c r="S68" i="1" s="1"/>
  <c r="U68" i="1" s="1"/>
  <c r="P71" i="1"/>
  <c r="O71" i="1"/>
  <c r="P72" i="1"/>
  <c r="O72" i="1"/>
  <c r="M69" i="1"/>
  <c r="N69" i="1" s="1"/>
  <c r="M70" i="1"/>
  <c r="N70" i="1" s="1"/>
  <c r="M73" i="1"/>
  <c r="G45" i="1"/>
  <c r="F34" i="1" s="1"/>
  <c r="G44" i="1"/>
  <c r="F36" i="1" s="1"/>
  <c r="R68" i="1" l="1"/>
  <c r="T68" i="1" s="1"/>
  <c r="V68" i="1" s="1"/>
  <c r="Q72" i="1"/>
  <c r="S72" i="1" s="1"/>
  <c r="U72" i="1" s="1"/>
  <c r="Q71" i="1"/>
  <c r="S71" i="1" s="1"/>
  <c r="U71" i="1" s="1"/>
  <c r="P69" i="1"/>
  <c r="O69" i="1"/>
  <c r="P70" i="1"/>
  <c r="O70" i="1"/>
  <c r="N73" i="1"/>
  <c r="G46" i="1"/>
  <c r="G47" i="1"/>
  <c r="B35" i="1"/>
  <c r="Q70" i="1" l="1"/>
  <c r="Q69" i="1"/>
  <c r="S69" i="1" s="1"/>
  <c r="U69" i="1" s="1"/>
  <c r="P73" i="1"/>
  <c r="O73" i="1"/>
  <c r="B33" i="1"/>
  <c r="R72" i="1"/>
  <c r="T72" i="1" s="1"/>
  <c r="V72" i="1" s="1"/>
  <c r="R71" i="1"/>
  <c r="T71" i="1" s="1"/>
  <c r="V71" i="1" s="1"/>
  <c r="Q73" i="1" l="1"/>
  <c r="S73" i="1" s="1"/>
  <c r="U73" i="1" s="1"/>
  <c r="R69" i="1"/>
  <c r="T69" i="1" s="1"/>
  <c r="V69" i="1" s="1"/>
  <c r="R70" i="1"/>
  <c r="T70" i="1" s="1"/>
  <c r="S70" i="1"/>
  <c r="U70" i="1" s="1"/>
  <c r="V70" i="1" l="1"/>
  <c r="R73" i="1"/>
  <c r="T73" i="1" s="1"/>
  <c r="V73" i="1" s="1"/>
</calcChain>
</file>

<file path=xl/sharedStrings.xml><?xml version="1.0" encoding="utf-8"?>
<sst xmlns="http://schemas.openxmlformats.org/spreadsheetml/2006/main" count="138" uniqueCount="107">
  <si>
    <t>à Lb (mm)</t>
  </si>
  <si>
    <t>Fb (N)</t>
  </si>
  <si>
    <r>
      <t>*</t>
    </r>
    <r>
      <rPr>
        <sz val="10"/>
        <rFont val="Arial"/>
        <family val="2"/>
      </rPr>
      <t xml:space="preserve"> </t>
    </r>
    <r>
      <rPr>
        <sz val="9"/>
        <rFont val="Arial"/>
        <family val="2"/>
      </rPr>
      <t xml:space="preserve">≠ 0 pour éviter mise en butée AV ou AR </t>
    </r>
  </si>
  <si>
    <t>Raideur K du ressort :</t>
  </si>
  <si>
    <r>
      <t>Gardes AV et AR (mm)</t>
    </r>
    <r>
      <rPr>
        <sz val="10"/>
        <color indexed="10"/>
        <rFont val="Arial"/>
        <family val="2"/>
      </rPr>
      <t xml:space="preserve"> </t>
    </r>
    <r>
      <rPr>
        <sz val="12"/>
        <color indexed="10"/>
        <rFont val="Arial"/>
        <family val="2"/>
      </rPr>
      <t>*</t>
    </r>
  </si>
  <si>
    <t>AB</t>
  </si>
  <si>
    <r>
      <t>x</t>
    </r>
    <r>
      <rPr>
        <vertAlign val="subscript"/>
        <sz val="10"/>
        <rFont val="Arial"/>
        <family val="2"/>
      </rPr>
      <t>A</t>
    </r>
  </si>
  <si>
    <r>
      <t>y</t>
    </r>
    <r>
      <rPr>
        <vertAlign val="subscript"/>
        <sz val="10"/>
        <rFont val="Arial"/>
        <family val="2"/>
      </rPr>
      <t>A</t>
    </r>
  </si>
  <si>
    <r>
      <t>x</t>
    </r>
    <r>
      <rPr>
        <vertAlign val="subscript"/>
        <sz val="10"/>
        <rFont val="Arial"/>
        <family val="2"/>
      </rPr>
      <t>G</t>
    </r>
  </si>
  <si>
    <r>
      <t>y</t>
    </r>
    <r>
      <rPr>
        <vertAlign val="subscript"/>
        <sz val="10"/>
        <rFont val="Arial"/>
        <family val="2"/>
      </rPr>
      <t>G</t>
    </r>
  </si>
  <si>
    <t>(en ° )</t>
  </si>
  <si>
    <t>(en rad)</t>
  </si>
  <si>
    <t>(en mm)</t>
  </si>
  <si>
    <t>Calculs intermédiaires</t>
  </si>
  <si>
    <t>alpha</t>
  </si>
  <si>
    <t>Nombre (1 ou 2)</t>
  </si>
  <si>
    <t>(en N)</t>
  </si>
  <si>
    <t>à Lo (mm)</t>
  </si>
  <si>
    <t>Fo (N)</t>
  </si>
  <si>
    <t>&lt; 0 : F de retenue</t>
  </si>
  <si>
    <r>
      <t>XAo</t>
    </r>
    <r>
      <rPr>
        <sz val="10"/>
        <rFont val="Arial"/>
        <family val="2"/>
      </rPr>
      <t xml:space="preserve"> (mm)</t>
    </r>
  </si>
  <si>
    <r>
      <t>YAo</t>
    </r>
    <r>
      <rPr>
        <sz val="10"/>
        <rFont val="Arial"/>
        <family val="2"/>
      </rPr>
      <t xml:space="preserve"> (mm)</t>
    </r>
  </si>
  <si>
    <r>
      <t>XGo</t>
    </r>
    <r>
      <rPr>
        <vertAlign val="subscript"/>
        <sz val="10"/>
        <rFont val="Arial"/>
        <family val="2"/>
      </rPr>
      <t xml:space="preserve"> </t>
    </r>
    <r>
      <rPr>
        <sz val="10"/>
        <rFont val="Arial"/>
        <family val="2"/>
      </rPr>
      <t>(mm)</t>
    </r>
  </si>
  <si>
    <r>
      <t>YGo</t>
    </r>
    <r>
      <rPr>
        <vertAlign val="subscript"/>
        <sz val="10"/>
        <rFont val="Arial"/>
        <family val="2"/>
      </rPr>
      <t xml:space="preserve"> </t>
    </r>
    <r>
      <rPr>
        <sz val="10"/>
        <rFont val="Arial"/>
        <family val="2"/>
      </rPr>
      <t>(mm)</t>
    </r>
  </si>
  <si>
    <t>OA :</t>
  </si>
  <si>
    <t>OG :</t>
  </si>
  <si>
    <t>ABo (=AB à alpha = 0) :</t>
  </si>
  <si>
    <t>AB mini :</t>
  </si>
  <si>
    <t>AB maxi :</t>
  </si>
  <si>
    <t>Course maxi (pt A / pt  B) :</t>
  </si>
  <si>
    <t xml:space="preserve"> mm</t>
  </si>
  <si>
    <t xml:space="preserve"> N/mm</t>
  </si>
  <si>
    <t>Course ressort</t>
  </si>
  <si>
    <r>
      <t>L</t>
    </r>
    <r>
      <rPr>
        <vertAlign val="superscript"/>
        <sz val="10"/>
        <rFont val="Arial"/>
        <family val="2"/>
      </rPr>
      <t>r</t>
    </r>
    <r>
      <rPr>
        <sz val="10"/>
        <rFont val="Arial"/>
        <family val="2"/>
      </rPr>
      <t xml:space="preserve"> AB (repos)</t>
    </r>
  </si>
  <si>
    <r>
      <t>XB</t>
    </r>
    <r>
      <rPr>
        <vertAlign val="subscript"/>
        <sz val="10"/>
        <rFont val="Arial"/>
        <family val="2"/>
      </rPr>
      <t xml:space="preserve"> </t>
    </r>
    <r>
      <rPr>
        <sz val="10"/>
        <rFont val="Arial"/>
        <family val="2"/>
      </rPr>
      <t>(mm)</t>
    </r>
  </si>
  <si>
    <t>Point de fixation B</t>
  </si>
  <si>
    <t>Angle de basculement maxi</t>
  </si>
  <si>
    <t>Alpha (degrés)</t>
  </si>
  <si>
    <t>Précourse :</t>
  </si>
  <si>
    <t xml:space="preserve"> mm  </t>
  </si>
  <si>
    <t>Rotation ( ° )</t>
  </si>
  <si>
    <t>Rotation ( rad )</t>
  </si>
  <si>
    <t>Nouveau XAo</t>
  </si>
  <si>
    <t>Nouveau XB</t>
  </si>
  <si>
    <t>Nouveau YB</t>
  </si>
  <si>
    <t>Point A</t>
  </si>
  <si>
    <t>Xa</t>
  </si>
  <si>
    <t>Ya</t>
  </si>
  <si>
    <t>Point G tourné de alpha</t>
  </si>
  <si>
    <t>Point G</t>
  </si>
  <si>
    <t>Xg</t>
  </si>
  <si>
    <t>Yg</t>
  </si>
  <si>
    <t>Xn</t>
  </si>
  <si>
    <t>Yn</t>
  </si>
  <si>
    <t>n</t>
  </si>
  <si>
    <t>Alpha (macro) radians</t>
  </si>
  <si>
    <t>Alpha (macro) degrés</t>
  </si>
  <si>
    <t>Levier AO tourné de alpha</t>
  </si>
  <si>
    <t>Ressort AB fonction de alpha</t>
  </si>
  <si>
    <t xml:space="preserve">A  </t>
  </si>
  <si>
    <t xml:space="preserve">B  </t>
  </si>
  <si>
    <t xml:space="preserve">O  </t>
  </si>
  <si>
    <t>Rotation sym.</t>
  </si>
  <si>
    <t>Nouveau YAo</t>
  </si>
  <si>
    <t>Rotation OA et AB (degrés)</t>
  </si>
  <si>
    <t>YB (mm)</t>
  </si>
  <si>
    <t>Frx</t>
  </si>
  <si>
    <t>Fry</t>
  </si>
  <si>
    <t>Fmx</t>
  </si>
  <si>
    <t>Fmy</t>
  </si>
  <si>
    <r>
      <t>XCo</t>
    </r>
    <r>
      <rPr>
        <vertAlign val="subscript"/>
        <sz val="10"/>
        <rFont val="Arial"/>
        <family val="2"/>
      </rPr>
      <t xml:space="preserve"> </t>
    </r>
    <r>
      <rPr>
        <sz val="10"/>
        <rFont val="Arial"/>
        <family val="2"/>
      </rPr>
      <t>(mm)</t>
    </r>
  </si>
  <si>
    <r>
      <t>YCo</t>
    </r>
    <r>
      <rPr>
        <vertAlign val="subscript"/>
        <sz val="10"/>
        <rFont val="Arial"/>
        <family val="2"/>
      </rPr>
      <t xml:space="preserve"> </t>
    </r>
    <r>
      <rPr>
        <sz val="10"/>
        <rFont val="Arial"/>
        <family val="2"/>
      </rPr>
      <t>(mm)</t>
    </r>
  </si>
  <si>
    <r>
      <t>x</t>
    </r>
    <r>
      <rPr>
        <vertAlign val="subscript"/>
        <sz val="10"/>
        <rFont val="Arial"/>
        <family val="2"/>
      </rPr>
      <t>C</t>
    </r>
  </si>
  <si>
    <r>
      <t>y</t>
    </r>
    <r>
      <rPr>
        <vertAlign val="subscript"/>
        <sz val="10"/>
        <rFont val="Arial"/>
        <family val="2"/>
      </rPr>
      <t>C</t>
    </r>
  </si>
  <si>
    <t>Force par ressort</t>
  </si>
  <si>
    <t>Caractéristques ressorts à gaz</t>
  </si>
  <si>
    <t>Distance OC :</t>
  </si>
  <si>
    <r>
      <t xml:space="preserve">Fr </t>
    </r>
    <r>
      <rPr>
        <sz val="10"/>
        <color rgb="FFFF0000"/>
        <rFont val="Arial"/>
        <family val="2"/>
      </rPr>
      <t>total</t>
    </r>
    <r>
      <rPr>
        <sz val="10"/>
        <rFont val="Arial"/>
        <family val="2"/>
      </rPr>
      <t xml:space="preserve"> ressort(s)</t>
    </r>
  </si>
  <si>
    <t>Fm</t>
  </si>
  <si>
    <t>Rox</t>
  </si>
  <si>
    <t>Roy</t>
  </si>
  <si>
    <t>Ro</t>
  </si>
  <si>
    <t>180°</t>
  </si>
  <si>
    <t>-180°</t>
  </si>
  <si>
    <r>
      <t xml:space="preserve">  </t>
    </r>
    <r>
      <rPr>
        <b/>
        <sz val="12"/>
        <color indexed="10"/>
        <rFont val="Arial"/>
        <family val="2"/>
      </rPr>
      <t>Aide :</t>
    </r>
    <r>
      <rPr>
        <sz val="12"/>
        <color indexed="10"/>
        <rFont val="Arial"/>
        <family val="2"/>
      </rPr>
      <t xml:space="preserve"> il faut</t>
    </r>
  </si>
  <si>
    <t>Effort de manoeuvre</t>
  </si>
  <si>
    <t>&gt; 0 : F de "soulèvement"</t>
  </si>
  <si>
    <t>Vecteur Ox</t>
  </si>
  <si>
    <t>x</t>
  </si>
  <si>
    <t>y</t>
  </si>
  <si>
    <t>Mod</t>
  </si>
  <si>
    <t>Vecteur BA</t>
  </si>
  <si>
    <t>Effort sur les axes</t>
  </si>
  <si>
    <t>au point O</t>
  </si>
  <si>
    <t>Masse totale capot (kg)</t>
  </si>
  <si>
    <t xml:space="preserve">     Ouverture capot (degrés)</t>
  </si>
  <si>
    <t>Points capot</t>
  </si>
  <si>
    <t>Points capot tourné de alpha</t>
  </si>
  <si>
    <t>Calcul de l'équilibrage d'un capot pivotant par des ressorts à gaz</t>
  </si>
  <si>
    <r>
      <t xml:space="preserve">L'application est prévue pour un capot basculant autour d'un axe placé dans l'un de ses angles. L'angle de basculement du capot est réglable (sur la feuille "Croquis" il est de 90°).
</t>
    </r>
    <r>
      <rPr>
        <b/>
        <sz val="10"/>
        <rFont val="Arial"/>
        <family val="2"/>
      </rPr>
      <t>Pour le capot on doit introduire</t>
    </r>
    <r>
      <rPr>
        <sz val="10"/>
        <rFont val="Arial"/>
        <family val="2"/>
      </rPr>
      <t xml:space="preserve"> (l'articulation étant l'origine du repère) :</t>
    </r>
    <r>
      <rPr>
        <b/>
        <sz val="10"/>
        <rFont val="Arial"/>
        <family val="2"/>
      </rPr>
      <t xml:space="preserve">
</t>
    </r>
    <r>
      <rPr>
        <sz val="10"/>
        <rFont val="Arial"/>
        <family val="2"/>
      </rPr>
      <t xml:space="preserve">- la masse et les coordonnées du CdG
- les coordonnées du point d'application de la force du ressort
- l'angle d'ouverture du capot
- la distance de la poignée à l'axe de pivotement.
</t>
    </r>
    <r>
      <rPr>
        <b/>
        <sz val="10"/>
        <rFont val="Arial"/>
        <family val="2"/>
      </rPr>
      <t>Pour les ressorts à gaz :</t>
    </r>
    <r>
      <rPr>
        <sz val="10"/>
        <rFont val="Arial"/>
        <family val="2"/>
      </rPr>
      <t xml:space="preserve">
- on peut choisir le nombre de ressorts à gaz (en général, un de chaque côté)
- on doit introduire les coordonnés XB  et YB du point d'attache du ressort
- on doit introduire deux longueurs et deux forces correspondantes (données du Constructeur). La fonction "Effort" est considérée linéaire
  entre les deux positions extrêmes. 
</t>
    </r>
    <r>
      <rPr>
        <b/>
        <sz val="10"/>
        <rFont val="Arial"/>
        <family val="2"/>
      </rPr>
      <t>Aide à la détermination</t>
    </r>
    <r>
      <rPr>
        <sz val="10"/>
        <rFont val="Arial"/>
        <family val="2"/>
      </rPr>
      <t xml:space="preserve">
- un dessin et un curseur permettent de visualiser les mouvements
- un autre curseur permet de faire bouger, ensemble, les deux points d'attache du ressort, autour de l'axe O. Ce mouvement ne modifie
  pas les caractéristiques (ressort, force sur poignée...) mais seulement les coordonnées des points
- un bouton permet de valider la nouvelle position ci-dessus. Les coordonnées du nouveau point B sont prises en compte dans le calcul
- un second bouton permet, le cas échéant, de revenir à la position précédemment validée
</t>
    </r>
    <r>
      <rPr>
        <b/>
        <sz val="10"/>
        <rFont val="Arial"/>
        <family val="2"/>
      </rPr>
      <t xml:space="preserve">Données - Calculs - Erreurs - Résultats </t>
    </r>
    <r>
      <rPr>
        <sz val="10"/>
        <rFont val="Arial"/>
        <family val="2"/>
      </rPr>
      <t xml:space="preserve">
- les données sont introduites dans les cellules jaunes.
- un avertissement est donné pour les principales erreurs.
- si le ressort est plus long que nécessaire, la précourse est indiquée.
- les résultats sont récupérés sur le graphe et dans la colonne verte du tableau.</t>
    </r>
  </si>
  <si>
    <t xml:space="preserve">       Ouvert</t>
  </si>
  <si>
    <t>Fermé</t>
  </si>
  <si>
    <t>Point A capot fermé</t>
  </si>
  <si>
    <t>Point G capot fermé</t>
  </si>
  <si>
    <t>Point C capot fermé</t>
  </si>
  <si>
    <t>http://www.skf.com/files/775479.pdf</t>
  </si>
  <si>
    <t>2 ressorts à gaz Stabilus 208027 - Tige 20 - Corps 42 - avec rotules - entraxe (tige sortie) 820 - Course 300 - F 4600 N - Coeff. supposé 1,3 soit 5980 N tige rentrée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</si>
</sst>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
    <numFmt numFmtId="165" formatCode="0.00000"/>
    <numFmt numFmtId="166" formatCode="0.000"/>
  </numFmts>
  <fonts count="17" x14ac:knownFonts="1">
    <font>
      <sz val="10"/>
      <name val="Arial"/>
    </font>
    <font>
      <sz val="10"/>
      <name val="Arial"/>
      <family val="2"/>
    </font>
    <font>
      <vertAlign val="subscript"/>
      <sz val="10"/>
      <name val="Arial"/>
      <family val="2"/>
    </font>
    <font>
      <sz val="8"/>
      <name val="Arial"/>
      <family val="2"/>
    </font>
    <font>
      <sz val="10"/>
      <name val="Arial"/>
      <family val="2"/>
    </font>
    <font>
      <b/>
      <sz val="12"/>
      <name val="Arial"/>
      <family val="2"/>
    </font>
    <font>
      <sz val="12"/>
      <color indexed="10"/>
      <name val="Arial"/>
      <family val="2"/>
    </font>
    <font>
      <sz val="10"/>
      <color indexed="10"/>
      <name val="Arial"/>
      <family val="2"/>
    </font>
    <font>
      <vertAlign val="superscript"/>
      <sz val="10"/>
      <name val="Arial"/>
      <family val="2"/>
    </font>
    <font>
      <b/>
      <sz val="10"/>
      <name val="Arial"/>
      <family val="2"/>
    </font>
    <font>
      <sz val="9"/>
      <name val="Arial"/>
      <family val="2"/>
    </font>
    <font>
      <b/>
      <sz val="12"/>
      <color indexed="10"/>
      <name val="Arial"/>
      <family val="2"/>
    </font>
    <font>
      <sz val="10"/>
      <color rgb="FFFF0000"/>
      <name val="Arial"/>
      <family val="2"/>
    </font>
    <font>
      <u/>
      <sz val="10"/>
      <color theme="10"/>
      <name val="Arial"/>
      <family val="2"/>
    </font>
    <font>
      <sz val="11"/>
      <color rgb="FFFF0000"/>
      <name val="Arial"/>
      <family val="2"/>
    </font>
    <font>
      <sz val="11"/>
      <name val="Arial"/>
      <family val="2"/>
    </font>
    <font>
      <u/>
      <sz val="11"/>
      <color theme="10"/>
      <name val="Arial"/>
      <family val="2"/>
    </font>
  </fonts>
  <fills count="8">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46"/>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rgb="FFFFFF00"/>
        <bgColor indexed="64"/>
      </patternFill>
    </fill>
  </fills>
  <borders count="94">
    <border>
      <left/>
      <right/>
      <top/>
      <bottom/>
      <diagonal/>
    </border>
    <border>
      <left style="medium">
        <color indexed="64"/>
      </left>
      <right style="thin">
        <color indexed="64"/>
      </right>
      <top style="thin">
        <color indexed="64"/>
      </top>
      <bottom style="thin">
        <color indexed="22"/>
      </bottom>
      <diagonal/>
    </border>
    <border>
      <left style="thin">
        <color indexed="64"/>
      </left>
      <right style="medium">
        <color indexed="64"/>
      </right>
      <top style="thin">
        <color indexed="64"/>
      </top>
      <bottom style="thin">
        <color indexed="22"/>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22"/>
      </bottom>
      <diagonal/>
    </border>
    <border>
      <left style="medium">
        <color indexed="64"/>
      </left>
      <right style="thin">
        <color indexed="64"/>
      </right>
      <top style="thin">
        <color indexed="22"/>
      </top>
      <bottom style="medium">
        <color indexed="64"/>
      </bottom>
      <diagonal/>
    </border>
    <border>
      <left style="thin">
        <color indexed="64"/>
      </left>
      <right style="medium">
        <color indexed="64"/>
      </right>
      <top style="thin">
        <color indexed="22"/>
      </top>
      <bottom style="medium">
        <color indexed="64"/>
      </bottom>
      <diagonal/>
    </border>
    <border>
      <left style="thin">
        <color indexed="64"/>
      </left>
      <right style="medium">
        <color indexed="64"/>
      </right>
      <top style="thin">
        <color indexed="22"/>
      </top>
      <bottom style="thin">
        <color indexed="64"/>
      </bottom>
      <diagonal/>
    </border>
    <border>
      <left style="medium">
        <color indexed="64"/>
      </left>
      <right style="thin">
        <color indexed="64"/>
      </right>
      <top/>
      <bottom style="thin">
        <color indexed="22"/>
      </bottom>
      <diagonal/>
    </border>
    <border>
      <left style="thin">
        <color indexed="64"/>
      </left>
      <right style="medium">
        <color indexed="64"/>
      </right>
      <top/>
      <bottom style="thin">
        <color indexed="22"/>
      </bottom>
      <diagonal/>
    </border>
    <border>
      <left style="medium">
        <color indexed="64"/>
      </left>
      <right style="thin">
        <color indexed="64"/>
      </right>
      <top style="thin">
        <color indexed="22"/>
      </top>
      <bottom style="thin">
        <color indexed="22"/>
      </bottom>
      <diagonal/>
    </border>
    <border>
      <left style="thin">
        <color indexed="64"/>
      </left>
      <right style="thin">
        <color indexed="64"/>
      </right>
      <top style="thin">
        <color indexed="22"/>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style="thin">
        <color indexed="22"/>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bottom style="thin">
        <color indexed="22"/>
      </bottom>
      <diagonal/>
    </border>
    <border>
      <left/>
      <right style="thin">
        <color indexed="64"/>
      </right>
      <top/>
      <bottom style="thin">
        <color indexed="22"/>
      </bottom>
      <diagonal/>
    </border>
    <border>
      <left/>
      <right/>
      <top style="thin">
        <color indexed="64"/>
      </top>
      <bottom style="thin">
        <color indexed="22"/>
      </bottom>
      <diagonal/>
    </border>
    <border>
      <left/>
      <right style="medium">
        <color indexed="64"/>
      </right>
      <top style="thin">
        <color indexed="64"/>
      </top>
      <bottom style="thin">
        <color indexed="22"/>
      </bottom>
      <diagonal/>
    </border>
    <border>
      <left/>
      <right/>
      <top style="thin">
        <color indexed="22"/>
      </top>
      <bottom style="thin">
        <color indexed="22"/>
      </bottom>
      <diagonal/>
    </border>
    <border>
      <left/>
      <right style="medium">
        <color indexed="64"/>
      </right>
      <top style="thin">
        <color indexed="22"/>
      </top>
      <bottom style="thin">
        <color indexed="22"/>
      </bottom>
      <diagonal/>
    </border>
    <border>
      <left/>
      <right/>
      <top style="thin">
        <color indexed="22"/>
      </top>
      <bottom/>
      <diagonal/>
    </border>
    <border>
      <left/>
      <right style="medium">
        <color indexed="64"/>
      </right>
      <top style="thin">
        <color indexed="22"/>
      </top>
      <bottom/>
      <diagonal/>
    </border>
    <border>
      <left/>
      <right/>
      <top/>
      <bottom style="thin">
        <color indexed="22"/>
      </bottom>
      <diagonal/>
    </border>
    <border>
      <left/>
      <right/>
      <top style="thin">
        <color indexed="22"/>
      </top>
      <bottom style="medium">
        <color indexed="64"/>
      </bottom>
      <diagonal/>
    </border>
    <border>
      <left/>
      <right style="medium">
        <color indexed="64"/>
      </right>
      <top style="thin">
        <color indexed="22"/>
      </top>
      <bottom style="medium">
        <color indexed="64"/>
      </bottom>
      <diagonal/>
    </border>
    <border>
      <left style="medium">
        <color indexed="64"/>
      </left>
      <right/>
      <top/>
      <bottom/>
      <diagonal/>
    </border>
    <border>
      <left style="medium">
        <color indexed="64"/>
      </left>
      <right style="thin">
        <color indexed="64"/>
      </right>
      <top style="thin">
        <color indexed="22"/>
      </top>
      <bottom style="thin">
        <color indexed="64"/>
      </bottom>
      <diagonal/>
    </border>
    <border>
      <left/>
      <right style="thin">
        <color indexed="64"/>
      </right>
      <top style="thin">
        <color indexed="64"/>
      </top>
      <bottom style="thin">
        <color indexed="22"/>
      </bottom>
      <diagonal/>
    </border>
    <border>
      <left style="medium">
        <color indexed="64"/>
      </left>
      <right/>
      <top style="thin">
        <color indexed="22"/>
      </top>
      <bottom style="thin">
        <color indexed="22"/>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22"/>
      </right>
      <top style="medium">
        <color indexed="64"/>
      </top>
      <bottom/>
      <diagonal/>
    </border>
    <border>
      <left style="thin">
        <color indexed="22"/>
      </left>
      <right style="medium">
        <color indexed="64"/>
      </right>
      <top style="medium">
        <color indexed="64"/>
      </top>
      <bottom/>
      <diagonal/>
    </border>
    <border>
      <left style="medium">
        <color indexed="64"/>
      </left>
      <right/>
      <top style="thin">
        <color indexed="22"/>
      </top>
      <bottom style="medium">
        <color indexed="64"/>
      </bottom>
      <diagonal/>
    </border>
    <border>
      <left style="dashed">
        <color indexed="22"/>
      </left>
      <right/>
      <top style="dashed">
        <color indexed="22"/>
      </top>
      <bottom/>
      <diagonal/>
    </border>
    <border>
      <left/>
      <right style="dashed">
        <color indexed="22"/>
      </right>
      <top style="dashed">
        <color indexed="22"/>
      </top>
      <bottom/>
      <diagonal/>
    </border>
    <border>
      <left style="dashed">
        <color indexed="22"/>
      </left>
      <right/>
      <top/>
      <bottom style="dashed">
        <color indexed="22"/>
      </bottom>
      <diagonal/>
    </border>
    <border>
      <left/>
      <right style="dashed">
        <color indexed="22"/>
      </right>
      <top/>
      <bottom style="dashed">
        <color indexed="22"/>
      </bottom>
      <diagonal/>
    </border>
    <border>
      <left style="dashed">
        <color indexed="22"/>
      </left>
      <right/>
      <top style="dashed">
        <color indexed="22"/>
      </top>
      <bottom style="dashed">
        <color indexed="22"/>
      </bottom>
      <diagonal/>
    </border>
    <border>
      <left/>
      <right style="dashed">
        <color indexed="22"/>
      </right>
      <top style="dashed">
        <color indexed="22"/>
      </top>
      <bottom style="dashed">
        <color indexed="22"/>
      </bottom>
      <diagonal/>
    </border>
    <border>
      <left style="dashed">
        <color indexed="22"/>
      </left>
      <right/>
      <top style="dashed">
        <color indexed="22"/>
      </top>
      <bottom style="dashed">
        <color indexed="31"/>
      </bottom>
      <diagonal/>
    </border>
    <border>
      <left/>
      <right style="dashed">
        <color indexed="22"/>
      </right>
      <top style="dashed">
        <color indexed="22"/>
      </top>
      <bottom style="dashed">
        <color indexed="31"/>
      </bottom>
      <diagonal/>
    </border>
    <border>
      <left style="medium">
        <color indexed="64"/>
      </left>
      <right/>
      <top style="thin">
        <color indexed="64"/>
      </top>
      <bottom style="thin">
        <color indexed="22"/>
      </bottom>
      <diagonal/>
    </border>
    <border>
      <left style="medium">
        <color indexed="64"/>
      </left>
      <right style="thin">
        <color indexed="22"/>
      </right>
      <top style="medium">
        <color indexed="64"/>
      </top>
      <bottom style="thin">
        <color indexed="64"/>
      </bottom>
      <diagonal/>
    </border>
    <border>
      <left style="thin">
        <color indexed="22"/>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rgb="FFFF0000"/>
      </top>
      <bottom/>
      <diagonal/>
    </border>
    <border>
      <left/>
      <right/>
      <top/>
      <bottom style="medium">
        <color rgb="FFFF0000"/>
      </bottom>
      <diagonal/>
    </border>
    <border>
      <left/>
      <right style="medium">
        <color rgb="FFFF0000"/>
      </right>
      <top style="medium">
        <color rgb="FFFF0000"/>
      </top>
      <bottom/>
      <diagonal/>
    </border>
    <border>
      <left/>
      <right style="medium">
        <color rgb="FFFF0000"/>
      </right>
      <top/>
      <bottom style="medium">
        <color rgb="FFFF0000"/>
      </bottom>
      <diagonal/>
    </border>
    <border>
      <left style="medium">
        <color rgb="FFFF0000"/>
      </left>
      <right/>
      <top style="medium">
        <color rgb="FFFF0000"/>
      </top>
      <bottom/>
      <diagonal/>
    </border>
    <border>
      <left style="medium">
        <color rgb="FFFF0000"/>
      </left>
      <right/>
      <top/>
      <bottom style="medium">
        <color rgb="FFFF0000"/>
      </bottom>
      <diagonal/>
    </border>
    <border>
      <left style="thin">
        <color indexed="64"/>
      </left>
      <right style="thin">
        <color indexed="64"/>
      </right>
      <top style="medium">
        <color indexed="64"/>
      </top>
      <bottom/>
      <diagonal/>
    </border>
    <border>
      <left style="medium">
        <color indexed="64"/>
      </left>
      <right style="thin">
        <color indexed="22"/>
      </right>
      <top style="thin">
        <color indexed="64"/>
      </top>
      <bottom/>
      <diagonal/>
    </border>
    <border>
      <left style="thin">
        <color indexed="22"/>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rgb="FFFF0000"/>
      </left>
      <right/>
      <top/>
      <bottom/>
      <diagonal/>
    </border>
    <border>
      <left/>
      <right style="medium">
        <color rgb="FFFF0000"/>
      </right>
      <top/>
      <bottom/>
      <diagonal/>
    </border>
    <border>
      <left style="thin">
        <color indexed="64"/>
      </left>
      <right style="thin">
        <color indexed="22"/>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13" fillId="0" borderId="0" applyNumberFormat="0" applyFill="0" applyBorder="0" applyAlignment="0" applyProtection="0"/>
  </cellStyleXfs>
  <cellXfs count="228">
    <xf numFmtId="0" fontId="0" fillId="0" borderId="0" xfId="0"/>
    <xf numFmtId="0" fontId="0" fillId="0" borderId="0" xfId="0" applyProtection="1"/>
    <xf numFmtId="0" fontId="5" fillId="0" borderId="0" xfId="0" applyFont="1" applyAlignment="1" applyProtection="1">
      <alignment vertical="center"/>
    </xf>
    <xf numFmtId="0" fontId="0" fillId="0" borderId="0" xfId="0" applyFill="1" applyBorder="1" applyAlignment="1" applyProtection="1">
      <alignment vertical="center"/>
    </xf>
    <xf numFmtId="0" fontId="0" fillId="0" borderId="1" xfId="0" applyBorder="1" applyAlignment="1" applyProtection="1">
      <alignment horizontal="center"/>
    </xf>
    <xf numFmtId="0" fontId="0" fillId="0" borderId="2" xfId="0" applyBorder="1" applyAlignment="1" applyProtection="1">
      <alignment horizontal="center"/>
    </xf>
    <xf numFmtId="0" fontId="0" fillId="0" borderId="0" xfId="0" applyAlignment="1" applyProtection="1">
      <alignment horizontal="right"/>
    </xf>
    <xf numFmtId="0" fontId="0" fillId="0" borderId="0" xfId="0" applyFill="1" applyAlignment="1" applyProtection="1">
      <alignment horizontal="right"/>
    </xf>
    <xf numFmtId="0" fontId="0" fillId="0" borderId="0" xfId="0" applyFill="1" applyAlignment="1" applyProtection="1"/>
    <xf numFmtId="0" fontId="0" fillId="0" borderId="0" xfId="0" applyFill="1" applyBorder="1" applyAlignment="1" applyProtection="1">
      <alignment horizontal="left"/>
    </xf>
    <xf numFmtId="0" fontId="0" fillId="0" borderId="0" xfId="0" applyFill="1" applyBorder="1" applyProtection="1"/>
    <xf numFmtId="0" fontId="0" fillId="0" borderId="0" xfId="0" applyFill="1" applyProtection="1"/>
    <xf numFmtId="165" fontId="0" fillId="0" borderId="0" xfId="0" applyNumberFormat="1" applyBorder="1" applyAlignment="1" applyProtection="1">
      <alignment horizontal="center"/>
    </xf>
    <xf numFmtId="0" fontId="0" fillId="0" borderId="0" xfId="0" applyBorder="1" applyProtection="1"/>
    <xf numFmtId="0" fontId="0" fillId="0" borderId="1" xfId="0" applyFill="1" applyBorder="1" applyAlignment="1" applyProtection="1">
      <alignment horizontal="center"/>
    </xf>
    <xf numFmtId="165" fontId="0" fillId="0" borderId="0" xfId="0" applyNumberFormat="1" applyFill="1" applyAlignment="1" applyProtection="1">
      <alignment horizontal="center"/>
    </xf>
    <xf numFmtId="0" fontId="0" fillId="0" borderId="0" xfId="0" applyFill="1" applyAlignment="1" applyProtection="1">
      <alignment horizontal="center"/>
    </xf>
    <xf numFmtId="0" fontId="0" fillId="0" borderId="2" xfId="0" applyFill="1" applyBorder="1" applyAlignment="1" applyProtection="1">
      <alignment horizontal="center"/>
    </xf>
    <xf numFmtId="165" fontId="0" fillId="0" borderId="0" xfId="0" applyNumberFormat="1" applyAlignment="1" applyProtection="1">
      <alignment horizontal="center"/>
    </xf>
    <xf numFmtId="165" fontId="0" fillId="0" borderId="0" xfId="0" applyNumberFormat="1" applyAlignment="1" applyProtection="1">
      <alignment horizontal="right"/>
    </xf>
    <xf numFmtId="0" fontId="6" fillId="0" borderId="0" xfId="0" applyFont="1" applyBorder="1" applyAlignment="1" applyProtection="1">
      <alignment horizontal="left" vertical="top" wrapText="1"/>
    </xf>
    <xf numFmtId="164" fontId="0" fillId="0" borderId="6" xfId="0" applyNumberFormat="1" applyBorder="1" applyProtection="1"/>
    <xf numFmtId="2" fontId="0" fillId="0" borderId="6" xfId="0" applyNumberFormat="1" applyBorder="1" applyAlignment="1" applyProtection="1">
      <alignment horizontal="right"/>
    </xf>
    <xf numFmtId="2" fontId="0" fillId="0" borderId="6" xfId="0" applyNumberFormat="1" applyBorder="1" applyAlignment="1" applyProtection="1">
      <alignment horizontal="center"/>
    </xf>
    <xf numFmtId="0" fontId="0" fillId="0" borderId="3"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0" fillId="0" borderId="7" xfId="0" applyBorder="1" applyAlignment="1" applyProtection="1">
      <alignment horizontal="center"/>
    </xf>
    <xf numFmtId="164" fontId="0" fillId="0" borderId="13" xfId="0" applyNumberFormat="1" applyBorder="1" applyProtection="1"/>
    <xf numFmtId="2" fontId="0" fillId="0" borderId="13" xfId="0" applyNumberFormat="1" applyBorder="1" applyAlignment="1" applyProtection="1">
      <alignment horizontal="right"/>
    </xf>
    <xf numFmtId="2" fontId="0" fillId="0" borderId="14" xfId="0" applyNumberFormat="1" applyBorder="1" applyAlignment="1" applyProtection="1">
      <alignment horizontal="center"/>
    </xf>
    <xf numFmtId="2" fontId="0" fillId="0" borderId="13" xfId="0" applyNumberFormat="1" applyBorder="1" applyAlignment="1" applyProtection="1">
      <alignment horizontal="center"/>
    </xf>
    <xf numFmtId="0" fontId="0" fillId="2" borderId="0" xfId="0" applyFill="1"/>
    <xf numFmtId="2" fontId="0" fillId="0" borderId="16" xfId="0" applyNumberFormat="1" applyBorder="1" applyAlignment="1" applyProtection="1">
      <alignment horizontal="center"/>
    </xf>
    <xf numFmtId="2" fontId="0" fillId="0" borderId="17" xfId="0" applyNumberFormat="1" applyBorder="1" applyAlignment="1" applyProtection="1">
      <alignment horizontal="center"/>
    </xf>
    <xf numFmtId="0" fontId="1" fillId="0" borderId="0" xfId="0" applyFont="1" applyProtection="1"/>
    <xf numFmtId="0" fontId="1" fillId="0" borderId="0" xfId="0" applyFont="1" applyBorder="1" applyAlignment="1" applyProtection="1">
      <alignment vertical="top" wrapText="1"/>
    </xf>
    <xf numFmtId="0" fontId="1" fillId="0" borderId="0" xfId="0" applyFont="1" applyAlignment="1" applyProtection="1">
      <alignment horizontal="center"/>
    </xf>
    <xf numFmtId="0" fontId="1" fillId="0" borderId="0" xfId="0" applyFont="1" applyBorder="1" applyAlignment="1" applyProtection="1">
      <alignment horizontal="left" vertical="top" wrapText="1"/>
    </xf>
    <xf numFmtId="164" fontId="1" fillId="0" borderId="0" xfId="0" applyNumberFormat="1" applyFont="1" applyProtection="1"/>
    <xf numFmtId="0" fontId="0" fillId="0" borderId="16" xfId="0" applyBorder="1" applyAlignment="1" applyProtection="1">
      <alignment horizontal="center"/>
    </xf>
    <xf numFmtId="0" fontId="0" fillId="0" borderId="18" xfId="0" applyBorder="1" applyAlignment="1" applyProtection="1">
      <alignment horizontal="center"/>
    </xf>
    <xf numFmtId="0" fontId="0" fillId="0" borderId="17" xfId="0" applyBorder="1" applyAlignment="1" applyProtection="1">
      <alignment horizontal="center"/>
    </xf>
    <xf numFmtId="0" fontId="0" fillId="0" borderId="6" xfId="0" applyBorder="1" applyAlignment="1" applyProtection="1">
      <alignment horizontal="center"/>
    </xf>
    <xf numFmtId="0" fontId="0" fillId="0" borderId="19" xfId="0" applyBorder="1" applyAlignment="1" applyProtection="1">
      <alignment horizontal="center"/>
    </xf>
    <xf numFmtId="0" fontId="0" fillId="0" borderId="0" xfId="0" applyAlignment="1" applyProtection="1">
      <alignment horizontal="left"/>
    </xf>
    <xf numFmtId="0" fontId="1" fillId="0" borderId="20" xfId="0" applyFont="1" applyBorder="1" applyAlignment="1" applyProtection="1">
      <alignment horizontal="left" vertical="top" wrapText="1"/>
    </xf>
    <xf numFmtId="0" fontId="1" fillId="0" borderId="21" xfId="0" applyFont="1" applyBorder="1" applyAlignment="1" applyProtection="1">
      <alignment horizontal="left" vertical="top" wrapText="1"/>
    </xf>
    <xf numFmtId="0" fontId="1" fillId="0" borderId="22" xfId="0" applyFont="1" applyBorder="1" applyAlignment="1" applyProtection="1">
      <alignment horizontal="left" vertical="top" wrapText="1"/>
    </xf>
    <xf numFmtId="0" fontId="1" fillId="0" borderId="23" xfId="0" applyFont="1" applyBorder="1" applyAlignment="1" applyProtection="1">
      <alignment horizontal="left" vertical="top" wrapText="1"/>
    </xf>
    <xf numFmtId="0" fontId="1" fillId="0" borderId="24" xfId="0" applyFont="1" applyBorder="1" applyAlignment="1" applyProtection="1">
      <alignment horizontal="left" vertical="top" wrapText="1"/>
    </xf>
    <xf numFmtId="0" fontId="1" fillId="0" borderId="0" xfId="0" applyFont="1" applyAlignment="1" applyProtection="1">
      <alignment horizontal="right"/>
    </xf>
    <xf numFmtId="0" fontId="1" fillId="0" borderId="25" xfId="0" applyFont="1" applyBorder="1" applyAlignment="1" applyProtection="1">
      <alignment horizontal="left" vertical="top" wrapText="1"/>
    </xf>
    <xf numFmtId="0" fontId="1" fillId="0" borderId="26" xfId="0" applyFont="1" applyFill="1" applyBorder="1" applyAlignment="1" applyProtection="1">
      <alignment horizontal="left" vertical="top" wrapText="1"/>
    </xf>
    <xf numFmtId="0" fontId="0" fillId="0" borderId="0" xfId="0" quotePrefix="1" applyAlignment="1" applyProtection="1">
      <alignment horizontal="right"/>
    </xf>
    <xf numFmtId="0" fontId="0" fillId="0" borderId="0" xfId="0" quotePrefix="1" applyAlignment="1" applyProtection="1"/>
    <xf numFmtId="166" fontId="0" fillId="0" borderId="27" xfId="0" applyNumberFormat="1" applyBorder="1" applyAlignment="1" applyProtection="1">
      <alignment vertical="center"/>
    </xf>
    <xf numFmtId="0" fontId="0" fillId="0" borderId="27" xfId="0" applyBorder="1" applyAlignment="1" applyProtection="1">
      <alignment horizontal="left" vertical="center"/>
    </xf>
    <xf numFmtId="0" fontId="0" fillId="0" borderId="28" xfId="0" applyBorder="1" applyAlignment="1" applyProtection="1">
      <alignment horizontal="center" vertical="center"/>
    </xf>
    <xf numFmtId="166" fontId="0" fillId="0" borderId="29" xfId="0" applyNumberFormat="1" applyBorder="1" applyAlignment="1" applyProtection="1">
      <alignment vertical="center"/>
    </xf>
    <xf numFmtId="0" fontId="0" fillId="0" borderId="29" xfId="0" applyBorder="1" applyAlignment="1" applyProtection="1">
      <alignment horizontal="left" vertical="center"/>
    </xf>
    <xf numFmtId="0" fontId="0" fillId="0" borderId="30" xfId="0" applyBorder="1" applyAlignment="1" applyProtection="1">
      <alignment horizontal="center" vertical="center"/>
    </xf>
    <xf numFmtId="166" fontId="0" fillId="0" borderId="31" xfId="0" applyNumberFormat="1" applyBorder="1" applyAlignment="1" applyProtection="1">
      <alignment vertical="center"/>
    </xf>
    <xf numFmtId="0" fontId="0" fillId="0" borderId="32" xfId="0" applyBorder="1" applyAlignment="1" applyProtection="1">
      <alignment vertical="center"/>
    </xf>
    <xf numFmtId="0" fontId="0" fillId="0" borderId="30" xfId="0" applyBorder="1" applyAlignment="1" applyProtection="1">
      <alignment vertical="center"/>
    </xf>
    <xf numFmtId="166" fontId="0" fillId="0" borderId="33" xfId="0" applyNumberFormat="1" applyBorder="1" applyAlignment="1" applyProtection="1">
      <alignment vertical="center"/>
    </xf>
    <xf numFmtId="166" fontId="0" fillId="0" borderId="0" xfId="0" applyNumberFormat="1" applyBorder="1" applyAlignment="1" applyProtection="1">
      <alignment vertical="center"/>
    </xf>
    <xf numFmtId="166" fontId="0" fillId="0" borderId="34" xfId="0" applyNumberFormat="1" applyBorder="1" applyAlignment="1" applyProtection="1">
      <alignment vertical="center"/>
    </xf>
    <xf numFmtId="0" fontId="0" fillId="0" borderId="34" xfId="0" applyBorder="1" applyAlignment="1" applyProtection="1">
      <alignment horizontal="left" vertical="center"/>
    </xf>
    <xf numFmtId="0" fontId="0" fillId="0" borderId="35" xfId="0" applyBorder="1" applyAlignment="1" applyProtection="1">
      <alignment vertical="center"/>
    </xf>
    <xf numFmtId="0" fontId="1" fillId="0" borderId="2" xfId="0" applyFont="1" applyFill="1" applyBorder="1" applyAlignment="1" applyProtection="1">
      <alignment horizontal="center"/>
    </xf>
    <xf numFmtId="0" fontId="0" fillId="0" borderId="36" xfId="0" applyBorder="1" applyProtection="1"/>
    <xf numFmtId="1" fontId="0" fillId="0" borderId="69" xfId="0" applyNumberFormat="1" applyBorder="1" applyAlignment="1" applyProtection="1">
      <alignment horizontal="left"/>
    </xf>
    <xf numFmtId="0" fontId="0" fillId="0" borderId="0" xfId="0" applyBorder="1" applyAlignment="1" applyProtection="1">
      <alignment horizontal="center"/>
    </xf>
    <xf numFmtId="0" fontId="0" fillId="0" borderId="0" xfId="0" applyAlignment="1" applyProtection="1">
      <alignment horizontal="center"/>
    </xf>
    <xf numFmtId="0" fontId="10" fillId="0" borderId="36" xfId="0" applyFont="1" applyBorder="1" applyAlignment="1" applyProtection="1">
      <alignment horizontal="center"/>
    </xf>
    <xf numFmtId="0" fontId="10" fillId="0" borderId="0" xfId="0" applyFont="1" applyBorder="1" applyAlignment="1" applyProtection="1">
      <alignment horizontal="center"/>
    </xf>
    <xf numFmtId="0" fontId="0" fillId="0" borderId="0" xfId="0" applyAlignment="1" applyProtection="1">
      <alignment vertical="center" wrapText="1"/>
    </xf>
    <xf numFmtId="0" fontId="10" fillId="0" borderId="0" xfId="0" applyFont="1" applyFill="1" applyBorder="1" applyAlignment="1" applyProtection="1">
      <alignment horizontal="center" vertical="center" wrapText="1"/>
    </xf>
    <xf numFmtId="0" fontId="0" fillId="0" borderId="0" xfId="0" applyFill="1" applyBorder="1" applyAlignment="1" applyProtection="1">
      <alignment horizontal="center"/>
    </xf>
    <xf numFmtId="0" fontId="0" fillId="0" borderId="5" xfId="0" applyFill="1" applyBorder="1" applyAlignment="1" applyProtection="1">
      <alignment horizontal="center"/>
    </xf>
    <xf numFmtId="0" fontId="0" fillId="0" borderId="5" xfId="0" applyBorder="1" applyAlignment="1" applyProtection="1">
      <alignment horizontal="center"/>
    </xf>
    <xf numFmtId="0" fontId="0" fillId="0" borderId="0" xfId="0" applyAlignment="1" applyProtection="1"/>
    <xf numFmtId="0" fontId="1" fillId="0" borderId="1" xfId="0" applyFont="1" applyBorder="1" applyAlignment="1" applyProtection="1">
      <alignment horizontal="center"/>
    </xf>
    <xf numFmtId="0" fontId="1" fillId="0" borderId="2" xfId="0" applyFont="1" applyBorder="1" applyAlignment="1" applyProtection="1">
      <alignment horizontal="center"/>
    </xf>
    <xf numFmtId="0" fontId="0" fillId="7" borderId="7" xfId="0" applyFill="1" applyBorder="1" applyAlignment="1" applyProtection="1">
      <alignment horizontal="center"/>
      <protection locked="0"/>
    </xf>
    <xf numFmtId="0" fontId="0" fillId="7" borderId="8" xfId="0" applyFill="1" applyBorder="1" applyAlignment="1" applyProtection="1">
      <alignment horizontal="center"/>
      <protection locked="0"/>
    </xf>
    <xf numFmtId="0" fontId="0" fillId="7" borderId="37" xfId="0" applyNumberFormat="1" applyFill="1" applyBorder="1" applyAlignment="1" applyProtection="1">
      <alignment horizontal="center"/>
      <protection locked="0"/>
    </xf>
    <xf numFmtId="0" fontId="0" fillId="7" borderId="9" xfId="0" applyFill="1" applyBorder="1" applyAlignment="1" applyProtection="1">
      <alignment horizontal="center"/>
      <protection locked="0"/>
    </xf>
    <xf numFmtId="2" fontId="0" fillId="0" borderId="6" xfId="0" applyNumberFormat="1" applyFill="1" applyBorder="1" applyAlignment="1" applyProtection="1">
      <alignment horizontal="center"/>
    </xf>
    <xf numFmtId="0" fontId="0" fillId="5" borderId="5" xfId="0" applyFill="1" applyBorder="1" applyAlignment="1" applyProtection="1">
      <alignment horizontal="center"/>
    </xf>
    <xf numFmtId="2" fontId="0" fillId="5" borderId="6" xfId="0" applyNumberFormat="1" applyFill="1" applyBorder="1" applyAlignment="1" applyProtection="1">
      <alignment horizontal="center"/>
    </xf>
    <xf numFmtId="2" fontId="0" fillId="5" borderId="13" xfId="0" applyNumberFormat="1" applyFill="1" applyBorder="1" applyAlignment="1" applyProtection="1">
      <alignment horizontal="center"/>
    </xf>
    <xf numFmtId="0" fontId="1" fillId="5" borderId="3" xfId="0" applyFont="1" applyFill="1" applyBorder="1" applyAlignment="1" applyProtection="1">
      <alignment horizontal="center"/>
    </xf>
    <xf numFmtId="0" fontId="0" fillId="5" borderId="4" xfId="0" applyFill="1" applyBorder="1" applyAlignment="1" applyProtection="1">
      <alignment horizontal="center"/>
    </xf>
    <xf numFmtId="2" fontId="0" fillId="5" borderId="11" xfId="0" applyNumberFormat="1" applyFill="1" applyBorder="1" applyAlignment="1" applyProtection="1">
      <alignment horizontal="center"/>
    </xf>
    <xf numFmtId="2" fontId="0" fillId="5" borderId="15" xfId="0" applyNumberFormat="1" applyFill="1" applyBorder="1" applyAlignment="1" applyProtection="1">
      <alignment horizontal="center"/>
    </xf>
    <xf numFmtId="2" fontId="0" fillId="0" borderId="14" xfId="0" applyNumberFormat="1" applyFill="1" applyBorder="1" applyAlignment="1" applyProtection="1">
      <alignment horizontal="center"/>
    </xf>
    <xf numFmtId="0" fontId="1" fillId="0" borderId="0" xfId="0" quotePrefix="1" applyFont="1" applyAlignment="1" applyProtection="1"/>
    <xf numFmtId="0" fontId="1" fillId="0" borderId="0" xfId="0" applyFont="1" applyAlignment="1" applyProtection="1">
      <alignment horizontal="left"/>
    </xf>
    <xf numFmtId="0" fontId="1" fillId="0" borderId="0" xfId="0" quotePrefix="1" applyFont="1" applyAlignment="1" applyProtection="1">
      <alignment horizontal="right"/>
    </xf>
    <xf numFmtId="0" fontId="1" fillId="0" borderId="38" xfId="0" applyFont="1" applyFill="1" applyBorder="1" applyAlignment="1" applyProtection="1">
      <alignment horizontal="left" vertical="top" wrapText="1"/>
      <protection locked="0"/>
    </xf>
    <xf numFmtId="1" fontId="0" fillId="0" borderId="70" xfId="0" applyNumberFormat="1" applyBorder="1" applyAlignment="1" applyProtection="1">
      <alignment horizontal="left" vertical="top"/>
    </xf>
    <xf numFmtId="0" fontId="1" fillId="0" borderId="0" xfId="0" applyFont="1" applyBorder="1" applyProtection="1"/>
    <xf numFmtId="0" fontId="1" fillId="0" borderId="79" xfId="0" applyFont="1" applyBorder="1" applyProtection="1"/>
    <xf numFmtId="0" fontId="1" fillId="0" borderId="67" xfId="0" applyFont="1" applyBorder="1" applyAlignment="1" applyProtection="1">
      <alignment horizontal="left"/>
    </xf>
    <xf numFmtId="0" fontId="1" fillId="0" borderId="68" xfId="0" applyFont="1" applyBorder="1" applyAlignment="1" applyProtection="1">
      <alignment horizontal="left" vertical="top"/>
    </xf>
    <xf numFmtId="0" fontId="0" fillId="0" borderId="5" xfId="0" applyBorder="1" applyAlignment="1" applyProtection="1">
      <alignment horizontal="center"/>
    </xf>
    <xf numFmtId="0" fontId="9" fillId="0" borderId="0" xfId="0" applyFont="1" applyAlignment="1" applyProtection="1">
      <alignment horizontal="center"/>
    </xf>
    <xf numFmtId="0" fontId="0" fillId="5" borderId="4" xfId="0" applyFill="1" applyBorder="1" applyAlignment="1" applyProtection="1">
      <alignment horizontal="center"/>
    </xf>
    <xf numFmtId="0" fontId="0" fillId="0" borderId="83" xfId="0" applyFill="1" applyBorder="1" applyAlignment="1">
      <alignment horizontal="center"/>
    </xf>
    <xf numFmtId="0" fontId="0" fillId="0" borderId="84" xfId="0" applyFill="1" applyBorder="1" applyAlignment="1">
      <alignment horizontal="center"/>
    </xf>
    <xf numFmtId="0" fontId="0" fillId="0" borderId="85" xfId="0" applyFill="1" applyBorder="1" applyAlignment="1">
      <alignment horizontal="center"/>
    </xf>
    <xf numFmtId="0" fontId="0" fillId="0" borderId="86" xfId="0" applyFill="1" applyBorder="1" applyAlignment="1">
      <alignment horizontal="center"/>
    </xf>
    <xf numFmtId="0" fontId="0" fillId="0" borderId="87" xfId="0" applyFill="1" applyBorder="1" applyAlignment="1">
      <alignment horizontal="center"/>
    </xf>
    <xf numFmtId="165" fontId="0" fillId="0" borderId="88" xfId="0" applyNumberFormat="1" applyFill="1" applyBorder="1" applyAlignment="1">
      <alignment horizontal="center"/>
    </xf>
    <xf numFmtId="2" fontId="0" fillId="0" borderId="0" xfId="0" applyNumberFormat="1" applyFill="1" applyBorder="1" applyAlignment="1" applyProtection="1">
      <alignment horizontal="center"/>
    </xf>
    <xf numFmtId="2" fontId="0" fillId="0" borderId="89" xfId="0" applyNumberFormat="1" applyFill="1" applyBorder="1" applyAlignment="1">
      <alignment horizontal="center"/>
    </xf>
    <xf numFmtId="2" fontId="0" fillId="0" borderId="90" xfId="0" applyNumberFormat="1" applyFill="1" applyBorder="1" applyAlignment="1">
      <alignment horizontal="center"/>
    </xf>
    <xf numFmtId="2" fontId="0" fillId="0" borderId="91" xfId="0" applyNumberFormat="1" applyFill="1" applyBorder="1" applyAlignment="1">
      <alignment horizontal="center"/>
    </xf>
    <xf numFmtId="165" fontId="0" fillId="0" borderId="0" xfId="0" applyNumberFormat="1" applyFill="1" applyBorder="1" applyAlignment="1" applyProtection="1">
      <alignment horizontal="center"/>
    </xf>
    <xf numFmtId="0" fontId="0" fillId="0" borderId="0" xfId="0" applyFont="1" applyFill="1" applyBorder="1" applyAlignment="1" applyProtection="1">
      <alignment horizontal="center"/>
    </xf>
    <xf numFmtId="165" fontId="1" fillId="0" borderId="0" xfId="0" applyNumberFormat="1" applyFont="1" applyAlignment="1" applyProtection="1"/>
    <xf numFmtId="165" fontId="0" fillId="0" borderId="0" xfId="0" applyNumberFormat="1" applyAlignment="1" applyProtection="1"/>
    <xf numFmtId="165" fontId="0" fillId="0" borderId="0" xfId="0" applyNumberFormat="1" applyProtection="1"/>
    <xf numFmtId="0" fontId="1" fillId="0" borderId="0" xfId="0" applyFont="1" applyFill="1" applyBorder="1" applyAlignment="1">
      <alignment horizontal="center" vertical="center" wrapText="1"/>
    </xf>
    <xf numFmtId="2" fontId="0" fillId="0" borderId="0" xfId="0" applyNumberFormat="1" applyFill="1" applyBorder="1" applyAlignment="1">
      <alignment horizontal="center"/>
    </xf>
    <xf numFmtId="165" fontId="0" fillId="0" borderId="0" xfId="0" applyNumberFormat="1" applyFill="1" applyBorder="1" applyAlignment="1">
      <alignment horizontal="center"/>
    </xf>
    <xf numFmtId="0" fontId="1" fillId="0" borderId="0" xfId="0" applyFont="1" applyFill="1" applyBorder="1" applyAlignment="1">
      <alignment horizontal="center"/>
    </xf>
    <xf numFmtId="0" fontId="1" fillId="0" borderId="5" xfId="0" applyFont="1" applyBorder="1" applyAlignment="1" applyProtection="1">
      <alignment horizontal="center" vertical="center" wrapText="1"/>
    </xf>
    <xf numFmtId="165" fontId="0" fillId="0" borderId="0" xfId="0" applyNumberFormat="1" applyBorder="1" applyAlignment="1" applyProtection="1">
      <alignment horizontal="right" vertical="center"/>
    </xf>
    <xf numFmtId="0" fontId="0" fillId="0" borderId="0" xfId="0" applyBorder="1" applyAlignment="1" applyProtection="1">
      <alignment horizontal="left" vertical="center"/>
    </xf>
    <xf numFmtId="0" fontId="0" fillId="0" borderId="0" xfId="0" applyBorder="1" applyAlignment="1" applyProtection="1">
      <alignment vertical="center"/>
    </xf>
    <xf numFmtId="0" fontId="9" fillId="0" borderId="0" xfId="0" applyFont="1" applyAlignment="1" applyProtection="1"/>
    <xf numFmtId="0" fontId="1" fillId="0" borderId="0" xfId="0" applyFont="1" applyBorder="1" applyAlignment="1" applyProtection="1"/>
    <xf numFmtId="0" fontId="0" fillId="0" borderId="0" xfId="0" applyBorder="1" applyAlignment="1" applyProtection="1"/>
    <xf numFmtId="0" fontId="5" fillId="2" borderId="0" xfId="0" applyFont="1" applyFill="1" applyAlignment="1">
      <alignment horizontal="center" vertical="center" wrapText="1"/>
    </xf>
    <xf numFmtId="0" fontId="0" fillId="2" borderId="0" xfId="0" applyFill="1" applyAlignment="1">
      <alignment horizontal="center" vertical="center" wrapText="1"/>
    </xf>
    <xf numFmtId="0" fontId="0" fillId="2" borderId="0" xfId="0" applyFill="1" applyAlignment="1">
      <alignment horizontal="justify" vertical="top" wrapText="1"/>
    </xf>
    <xf numFmtId="0" fontId="1" fillId="0" borderId="73"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73"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5" borderId="76" xfId="0" applyFont="1" applyFill="1" applyBorder="1" applyAlignment="1" applyProtection="1">
      <alignment horizontal="center" vertical="center" wrapText="1"/>
    </xf>
    <xf numFmtId="0" fontId="1" fillId="5" borderId="77" xfId="0" applyFont="1" applyFill="1" applyBorder="1" applyAlignment="1" applyProtection="1">
      <alignment horizontal="center" vertical="center" wrapText="1"/>
    </xf>
    <xf numFmtId="165" fontId="0" fillId="0" borderId="39" xfId="0" applyNumberFormat="1" applyBorder="1" applyAlignment="1" applyProtection="1">
      <alignment horizontal="right" vertical="center"/>
    </xf>
    <xf numFmtId="165" fontId="0" fillId="0" borderId="29" xfId="0" applyNumberFormat="1" applyBorder="1" applyAlignment="1" applyProtection="1">
      <alignment horizontal="right" vertical="center"/>
    </xf>
    <xf numFmtId="0" fontId="1" fillId="0" borderId="43" xfId="0" applyFont="1" applyBorder="1" applyAlignment="1" applyProtection="1">
      <alignment horizontal="center" vertical="center" wrapText="1"/>
    </xf>
    <xf numFmtId="0" fontId="0" fillId="0" borderId="5" xfId="0" applyBorder="1" applyAlignment="1" applyProtection="1">
      <alignment horizontal="center" vertical="center" wrapText="1"/>
    </xf>
    <xf numFmtId="165" fontId="1" fillId="0" borderId="39" xfId="0" applyNumberFormat="1" applyFont="1" applyBorder="1" applyAlignment="1" applyProtection="1">
      <alignment horizontal="right" vertical="center"/>
    </xf>
    <xf numFmtId="165" fontId="0" fillId="0" borderId="50" xfId="0" applyNumberFormat="1" applyBorder="1" applyAlignment="1" applyProtection="1">
      <alignment horizontal="right" vertical="center"/>
    </xf>
    <xf numFmtId="165" fontId="0" fillId="0" borderId="34" xfId="0" applyNumberFormat="1" applyBorder="1" applyAlignment="1" applyProtection="1">
      <alignment horizontal="right" vertical="center"/>
    </xf>
    <xf numFmtId="0" fontId="0" fillId="0" borderId="43" xfId="0" applyBorder="1" applyAlignment="1" applyProtection="1">
      <alignment horizontal="center" vertical="center" wrapText="1"/>
    </xf>
    <xf numFmtId="0" fontId="6" fillId="0" borderId="71" xfId="0" applyFont="1" applyBorder="1" applyAlignment="1" applyProtection="1">
      <alignment horizontal="center" vertical="center"/>
    </xf>
    <xf numFmtId="0" fontId="6" fillId="0" borderId="78" xfId="0" applyFont="1" applyBorder="1" applyAlignment="1" applyProtection="1">
      <alignment horizontal="center" vertical="center"/>
    </xf>
    <xf numFmtId="0" fontId="6" fillId="0" borderId="72" xfId="0" applyFont="1" applyBorder="1" applyAlignment="1" applyProtection="1">
      <alignment horizontal="center" vertical="center"/>
    </xf>
    <xf numFmtId="0" fontId="4" fillId="0" borderId="0" xfId="0" applyFont="1" applyAlignment="1" applyProtection="1">
      <alignment horizontal="center" vertical="center" wrapText="1"/>
    </xf>
    <xf numFmtId="0" fontId="0" fillId="0" borderId="0" xfId="0" applyAlignment="1" applyProtection="1">
      <alignment vertical="center" wrapText="1"/>
    </xf>
    <xf numFmtId="0" fontId="0" fillId="7" borderId="44" xfId="0" applyFill="1" applyBorder="1" applyAlignment="1" applyProtection="1">
      <alignment horizontal="center"/>
      <protection locked="0"/>
    </xf>
    <xf numFmtId="0" fontId="0" fillId="7" borderId="45" xfId="0" applyFill="1" applyBorder="1" applyAlignment="1" applyProtection="1">
      <alignment horizontal="center"/>
      <protection locked="0"/>
    </xf>
    <xf numFmtId="0" fontId="0" fillId="7" borderId="46" xfId="0" applyFill="1" applyBorder="1" applyAlignment="1" applyProtection="1">
      <alignment horizontal="center"/>
      <protection locked="0"/>
    </xf>
    <xf numFmtId="0" fontId="0" fillId="7" borderId="47" xfId="0" applyFill="1" applyBorder="1" applyAlignment="1" applyProtection="1">
      <alignment horizontal="center"/>
      <protection locked="0"/>
    </xf>
    <xf numFmtId="0" fontId="0" fillId="6" borderId="48" xfId="0" applyFill="1" applyBorder="1" applyAlignment="1" applyProtection="1">
      <alignment horizontal="center"/>
    </xf>
    <xf numFmtId="0" fontId="0" fillId="6" borderId="49" xfId="0" applyFill="1" applyBorder="1" applyAlignment="1" applyProtection="1">
      <alignment horizontal="center"/>
    </xf>
    <xf numFmtId="0" fontId="6" fillId="0" borderId="53" xfId="0" applyFont="1" applyBorder="1" applyAlignment="1" applyProtection="1">
      <alignment horizontal="center" vertical="top" wrapText="1"/>
    </xf>
    <xf numFmtId="0" fontId="6" fillId="0" borderId="54" xfId="0" applyFont="1" applyBorder="1" applyAlignment="1" applyProtection="1">
      <alignment horizontal="center" vertical="top" wrapText="1"/>
    </xf>
    <xf numFmtId="0" fontId="6" fillId="0" borderId="57" xfId="0" applyFont="1" applyBorder="1" applyAlignment="1" applyProtection="1">
      <alignment horizontal="center" vertical="top" wrapText="1"/>
    </xf>
    <xf numFmtId="0" fontId="6" fillId="0" borderId="58" xfId="0" applyFont="1" applyBorder="1" applyAlignment="1" applyProtection="1">
      <alignment horizontal="center" vertical="top" wrapText="1"/>
    </xf>
    <xf numFmtId="0" fontId="10" fillId="5" borderId="51" xfId="0" applyFont="1" applyFill="1" applyBorder="1" applyAlignment="1" applyProtection="1">
      <alignment horizontal="center" vertical="center" wrapText="1"/>
    </xf>
    <xf numFmtId="0" fontId="10" fillId="5" borderId="52" xfId="0" applyFont="1" applyFill="1" applyBorder="1" applyAlignment="1" applyProtection="1">
      <alignment horizontal="center" vertical="center" wrapText="1"/>
    </xf>
    <xf numFmtId="0" fontId="10" fillId="5" borderId="53" xfId="0" applyFont="1" applyFill="1" applyBorder="1" applyAlignment="1" applyProtection="1">
      <alignment horizontal="center" vertical="center" wrapText="1"/>
    </xf>
    <xf numFmtId="0" fontId="10" fillId="5" borderId="54" xfId="0" applyFont="1" applyFill="1" applyBorder="1" applyAlignment="1" applyProtection="1">
      <alignment horizontal="center" vertical="center" wrapText="1"/>
    </xf>
    <xf numFmtId="0" fontId="1" fillId="0" borderId="51" xfId="0" applyFont="1" applyBorder="1" applyAlignment="1" applyProtection="1">
      <alignment horizontal="center" vertical="center" wrapText="1"/>
    </xf>
    <xf numFmtId="0" fontId="0" fillId="0" borderId="52" xfId="0" applyBorder="1" applyAlignment="1" applyProtection="1">
      <alignment horizontal="center" vertical="center" wrapText="1"/>
    </xf>
    <xf numFmtId="0" fontId="0" fillId="0" borderId="53" xfId="0" applyBorder="1" applyAlignment="1" applyProtection="1">
      <alignment horizontal="center" vertical="center" wrapText="1"/>
    </xf>
    <xf numFmtId="0" fontId="0" fillId="0" borderId="54" xfId="0" applyBorder="1" applyAlignment="1" applyProtection="1">
      <alignment horizontal="center" vertical="center" wrapText="1"/>
    </xf>
    <xf numFmtId="0" fontId="1" fillId="6" borderId="40" xfId="0" applyFont="1" applyFill="1" applyBorder="1" applyAlignment="1" applyProtection="1">
      <alignment horizontal="center"/>
    </xf>
    <xf numFmtId="0" fontId="0" fillId="6" borderId="42" xfId="0" applyFill="1" applyBorder="1" applyAlignment="1" applyProtection="1">
      <alignment horizontal="center"/>
    </xf>
    <xf numFmtId="0" fontId="0" fillId="7" borderId="50" xfId="0" applyFill="1" applyBorder="1" applyAlignment="1" applyProtection="1">
      <alignment horizontal="center"/>
      <protection locked="0"/>
    </xf>
    <xf numFmtId="0" fontId="0" fillId="7" borderId="35" xfId="0" applyFill="1" applyBorder="1" applyAlignment="1" applyProtection="1">
      <alignment horizontal="center"/>
      <protection locked="0"/>
    </xf>
    <xf numFmtId="0" fontId="0" fillId="0" borderId="59" xfId="0" applyBorder="1" applyAlignment="1" applyProtection="1">
      <alignment horizontal="center"/>
    </xf>
    <xf numFmtId="0" fontId="0" fillId="0" borderId="28" xfId="0" applyBorder="1" applyAlignment="1" applyProtection="1">
      <alignment horizontal="center"/>
    </xf>
    <xf numFmtId="0" fontId="10" fillId="0" borderId="55" xfId="0" applyFont="1" applyBorder="1" applyAlignment="1" applyProtection="1">
      <alignment horizontal="center" vertical="center" wrapText="1"/>
    </xf>
    <xf numFmtId="0" fontId="10" fillId="0" borderId="56" xfId="0" applyFont="1" applyBorder="1" applyAlignment="1" applyProtection="1">
      <alignment horizontal="center" vertical="center" wrapText="1"/>
    </xf>
    <xf numFmtId="0" fontId="0" fillId="5" borderId="3" xfId="0" applyFill="1" applyBorder="1" applyAlignment="1" applyProtection="1">
      <alignment horizontal="center"/>
    </xf>
    <xf numFmtId="0" fontId="0" fillId="5" borderId="4" xfId="0" applyFill="1" applyBorder="1" applyAlignment="1" applyProtection="1">
      <alignment horizontal="center"/>
    </xf>
    <xf numFmtId="0" fontId="0" fillId="7" borderId="3" xfId="0" applyFill="1" applyBorder="1" applyAlignment="1" applyProtection="1">
      <alignment horizontal="center"/>
      <protection locked="0"/>
    </xf>
    <xf numFmtId="0" fontId="0" fillId="7" borderId="4" xfId="0" applyFill="1" applyBorder="1" applyAlignment="1" applyProtection="1">
      <alignment horizontal="center"/>
      <protection locked="0"/>
    </xf>
    <xf numFmtId="0" fontId="0" fillId="3" borderId="40" xfId="0" applyFill="1" applyBorder="1" applyAlignment="1" applyProtection="1">
      <alignment horizontal="center" vertical="center"/>
    </xf>
    <xf numFmtId="0" fontId="0" fillId="3" borderId="41" xfId="0" applyFill="1" applyBorder="1" applyAlignment="1" applyProtection="1">
      <alignment horizontal="center" vertical="center"/>
    </xf>
    <xf numFmtId="0" fontId="0" fillId="3" borderId="42" xfId="0" applyFill="1" applyBorder="1" applyAlignment="1" applyProtection="1">
      <alignment horizontal="center" vertical="center"/>
    </xf>
    <xf numFmtId="2" fontId="1" fillId="0" borderId="0" xfId="0" applyNumberFormat="1" applyFont="1" applyAlignment="1" applyProtection="1">
      <alignment horizontal="center" vertical="center" wrapText="1"/>
    </xf>
    <xf numFmtId="0" fontId="0" fillId="0" borderId="0" xfId="0" applyAlignment="1" applyProtection="1">
      <alignment horizontal="center" vertical="center" wrapText="1"/>
    </xf>
    <xf numFmtId="0" fontId="0" fillId="0" borderId="59" xfId="0" applyBorder="1" applyAlignment="1" applyProtection="1">
      <alignment horizontal="right" vertical="center"/>
    </xf>
    <xf numFmtId="0" fontId="0" fillId="0" borderId="27" xfId="0" applyBorder="1" applyAlignment="1" applyProtection="1">
      <alignment horizontal="right" vertical="center"/>
    </xf>
    <xf numFmtId="0" fontId="0" fillId="0" borderId="39" xfId="0" applyBorder="1" applyAlignment="1" applyProtection="1">
      <alignment horizontal="right" vertical="center"/>
    </xf>
    <xf numFmtId="0" fontId="0" fillId="0" borderId="29" xfId="0" applyBorder="1" applyAlignment="1" applyProtection="1">
      <alignment horizontal="right" vertical="center"/>
    </xf>
    <xf numFmtId="0" fontId="0" fillId="0" borderId="80" xfId="0" applyFill="1" applyBorder="1" applyAlignment="1">
      <alignment horizontal="center"/>
    </xf>
    <xf numFmtId="0" fontId="0" fillId="0" borderId="81" xfId="0" applyBorder="1"/>
    <xf numFmtId="0" fontId="0" fillId="0" borderId="82" xfId="0" applyBorder="1"/>
    <xf numFmtId="0" fontId="1" fillId="6" borderId="74" xfId="0" applyFont="1" applyFill="1" applyBorder="1" applyAlignment="1" applyProtection="1">
      <alignment horizontal="center"/>
    </xf>
    <xf numFmtId="0" fontId="0" fillId="6" borderId="75" xfId="0" applyFill="1" applyBorder="1" applyAlignment="1" applyProtection="1">
      <alignment horizontal="center"/>
    </xf>
    <xf numFmtId="0" fontId="0" fillId="6" borderId="60" xfId="0" applyFill="1" applyBorder="1" applyAlignment="1" applyProtection="1">
      <alignment horizontal="center"/>
    </xf>
    <xf numFmtId="0" fontId="0" fillId="6" borderId="61" xfId="0" applyFill="1" applyBorder="1" applyAlignment="1" applyProtection="1">
      <alignment horizontal="center"/>
    </xf>
    <xf numFmtId="0" fontId="1" fillId="6" borderId="48" xfId="0" applyFont="1" applyFill="1" applyBorder="1" applyAlignment="1" applyProtection="1">
      <alignment horizontal="center"/>
    </xf>
    <xf numFmtId="0" fontId="4" fillId="6" borderId="40" xfId="0" applyFont="1" applyFill="1" applyBorder="1" applyAlignment="1" applyProtection="1">
      <alignment horizontal="center"/>
    </xf>
    <xf numFmtId="0" fontId="0" fillId="0" borderId="65" xfId="0" applyFill="1" applyBorder="1" applyAlignment="1" applyProtection="1">
      <alignment horizontal="center"/>
    </xf>
    <xf numFmtId="0" fontId="0" fillId="0" borderId="66" xfId="0" applyFill="1" applyBorder="1" applyAlignment="1" applyProtection="1">
      <alignment horizontal="center"/>
    </xf>
    <xf numFmtId="0" fontId="0" fillId="0" borderId="64" xfId="0" applyBorder="1" applyAlignment="1" applyProtection="1">
      <alignment horizontal="center" vertical="center" wrapText="1"/>
    </xf>
    <xf numFmtId="0" fontId="0" fillId="0" borderId="3" xfId="0" applyBorder="1" applyAlignment="1" applyProtection="1">
      <alignment horizontal="center" vertical="center" wrapText="1"/>
    </xf>
    <xf numFmtId="0" fontId="0" fillId="0" borderId="5" xfId="0" applyBorder="1" applyAlignment="1" applyProtection="1">
      <alignment horizontal="center"/>
      <protection locked="0"/>
    </xf>
    <xf numFmtId="0" fontId="4" fillId="2" borderId="62" xfId="0" applyFont="1" applyFill="1" applyBorder="1" applyAlignment="1" applyProtection="1">
      <alignment horizontal="center"/>
    </xf>
    <xf numFmtId="0" fontId="0" fillId="2" borderId="63" xfId="0" applyFill="1" applyBorder="1" applyAlignment="1" applyProtection="1">
      <alignment horizontal="center"/>
    </xf>
    <xf numFmtId="0" fontId="0" fillId="0" borderId="5" xfId="0" applyFill="1" applyBorder="1" applyAlignment="1" applyProtection="1">
      <alignment horizontal="center"/>
    </xf>
    <xf numFmtId="0" fontId="0" fillId="0" borderId="5" xfId="0" applyBorder="1" applyAlignment="1" applyProtection="1">
      <alignment horizontal="center"/>
    </xf>
    <xf numFmtId="0" fontId="0" fillId="4" borderId="5" xfId="0" applyFill="1" applyBorder="1" applyAlignment="1" applyProtection="1">
      <alignment horizontal="center"/>
    </xf>
    <xf numFmtId="0" fontId="0" fillId="2" borderId="5" xfId="0" applyFill="1" applyBorder="1" applyAlignment="1" applyProtection="1">
      <alignment horizontal="center"/>
    </xf>
    <xf numFmtId="0" fontId="0" fillId="2" borderId="62" xfId="0" applyFill="1" applyBorder="1" applyAlignment="1" applyProtection="1">
      <alignment horizontal="center"/>
    </xf>
    <xf numFmtId="0" fontId="1" fillId="0" borderId="92" xfId="0" applyFont="1" applyBorder="1" applyAlignment="1" applyProtection="1">
      <alignment horizontal="center" vertical="center" wrapText="1"/>
    </xf>
    <xf numFmtId="0" fontId="0" fillId="0" borderId="93" xfId="0" applyBorder="1" applyAlignment="1" applyProtection="1">
      <alignment horizontal="center" vertical="center" wrapText="1"/>
    </xf>
    <xf numFmtId="0" fontId="9" fillId="0" borderId="0" xfId="0" applyFont="1" applyBorder="1" applyAlignment="1" applyProtection="1">
      <alignment horizontal="center"/>
    </xf>
    <xf numFmtId="0" fontId="0" fillId="0" borderId="0" xfId="0" applyAlignment="1" applyProtection="1">
      <alignment horizontal="center"/>
    </xf>
    <xf numFmtId="0" fontId="0" fillId="0" borderId="0" xfId="0" applyBorder="1" applyAlignment="1" applyProtection="1">
      <alignment horizontal="center"/>
    </xf>
    <xf numFmtId="0" fontId="1" fillId="5" borderId="73" xfId="0" applyFont="1" applyFill="1" applyBorder="1" applyAlignment="1" applyProtection="1">
      <alignment horizontal="center" vertical="center" wrapText="1"/>
    </xf>
    <xf numFmtId="0" fontId="1" fillId="5" borderId="19" xfId="0" applyFont="1" applyFill="1" applyBorder="1" applyAlignment="1" applyProtection="1">
      <alignment horizontal="center" vertical="center" wrapText="1"/>
    </xf>
    <xf numFmtId="0" fontId="14" fillId="0" borderId="0" xfId="0" applyFont="1" applyProtection="1"/>
    <xf numFmtId="0" fontId="15" fillId="0" borderId="0" xfId="0" applyFont="1" applyProtection="1"/>
    <xf numFmtId="0" fontId="16" fillId="0" borderId="0" xfId="1" applyFont="1" applyBorder="1" applyAlignment="1" applyProtection="1">
      <alignment horizontal="left" vertical="center" wrapText="1"/>
    </xf>
  </cellXfs>
  <cellStyles count="2">
    <cellStyle name="Lien hypertexte" xfId="1" builtinId="8"/>
    <cellStyle name="Normal" xfId="0" builtinId="0"/>
  </cellStyles>
  <dxfs count="10">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theme="6" tint="0.59996337778862885"/>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B2EEB5"/>
      <color rgb="FFB0F0D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activeX1.xml><?xml version="1.0" encoding="utf-8"?>
<ax:ocx xmlns:ax="http://schemas.microsoft.com/office/2006/activeX" xmlns:r="http://schemas.openxmlformats.org/officeDocument/2006/relationships" ax:classid="{DFD181E0-5E2F-11CE-A449-00AA004A803D}" ax:persistence="persistStreamInit" r:id="rId1"/>
</file>

<file path=xl/activeX/activeX2.xml><?xml version="1.0" encoding="utf-8"?>
<ax:ocx xmlns:ax="http://schemas.microsoft.com/office/2006/activeX" xmlns:r="http://schemas.openxmlformats.org/officeDocument/2006/relationships" ax:classid="{DFD181E0-5E2F-11CE-A449-00AA004A803D}" ax:persistence="persistStreamInit" r:id="rId1"/>
</file>

<file path=xl/activeX/activeX3.xml><?xml version="1.0" encoding="utf-8"?>
<ax:ocx xmlns:ax="http://schemas.microsoft.com/office/2006/activeX" xmlns:r="http://schemas.openxmlformats.org/officeDocument/2006/relationships" ax:classid="{D7053240-CE69-11CD-A777-00DD01143C57}"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D7053240-CE69-11CD-A777-00DD01143C57}"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975920058264393"/>
          <c:y val="3.2188874929665441E-2"/>
          <c:w val="0.82409735515972704"/>
          <c:h val="0.87256779260294781"/>
        </c:manualLayout>
      </c:layout>
      <c:scatterChart>
        <c:scatterStyle val="lineMarker"/>
        <c:varyColors val="0"/>
        <c:ser>
          <c:idx val="0"/>
          <c:order val="0"/>
          <c:spPr>
            <a:ln w="12700">
              <a:solidFill>
                <a:srgbClr val="FF0000"/>
              </a:solidFill>
              <a:prstDash val="solid"/>
            </a:ln>
          </c:spPr>
          <c:marker>
            <c:symbol val="none"/>
          </c:marker>
          <c:xVal>
            <c:numRef>
              <c:f>'Calculs (ressort poussant)'!$B$55:$B$73</c:f>
              <c:numCache>
                <c:formatCode>General</c:formatCode>
                <c:ptCount val="19"/>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numCache>
            </c:numRef>
          </c:xVal>
          <c:yVal>
            <c:numRef>
              <c:f>'Calculs (ressort poussant)'!$Q$55:$Q$73</c:f>
              <c:numCache>
                <c:formatCode>0.00</c:formatCode>
                <c:ptCount val="19"/>
                <c:pt idx="0">
                  <c:v>64.502687746393377</c:v>
                </c:pt>
                <c:pt idx="1">
                  <c:v>32.440515482178888</c:v>
                </c:pt>
                <c:pt idx="2">
                  <c:v>4.1907369691782437</c:v>
                </c:pt>
                <c:pt idx="3">
                  <c:v>-20.578495358044108</c:v>
                </c:pt>
                <c:pt idx="4">
                  <c:v>-42.214620449309415</c:v>
                </c:pt>
                <c:pt idx="5">
                  <c:v>-61.07050310997942</c:v>
                </c:pt>
                <c:pt idx="6">
                  <c:v>-77.49632273016779</c:v>
                </c:pt>
                <c:pt idx="7">
                  <c:v>-91.833300660615066</c:v>
                </c:pt>
                <c:pt idx="8">
                  <c:v>-104.40901593137166</c:v>
                </c:pt>
                <c:pt idx="9">
                  <c:v>-115.5340532994171</c:v>
                </c:pt>
                <c:pt idx="10">
                  <c:v>-125.49974063571229</c:v>
                </c:pt>
                <c:pt idx="11">
                  <c:v>-134.57675642866951</c:v>
                </c:pt>
                <c:pt idx="12">
                  <c:v>-143.01441689539109</c:v>
                </c:pt>
                <c:pt idx="13">
                  <c:v>-151.0404819422329</c:v>
                </c:pt>
                <c:pt idx="14">
                  <c:v>-158.86134756971995</c:v>
                </c:pt>
                <c:pt idx="15">
                  <c:v>-166.66251792640463</c:v>
                </c:pt>
                <c:pt idx="16">
                  <c:v>-174.60927248400233</c:v>
                </c:pt>
                <c:pt idx="17">
                  <c:v>-182.84746261858899</c:v>
                </c:pt>
                <c:pt idx="18">
                  <c:v>-191.50438741583784</c:v>
                </c:pt>
              </c:numCache>
            </c:numRef>
          </c:yVal>
          <c:smooth val="0"/>
        </c:ser>
        <c:dLbls>
          <c:showLegendKey val="0"/>
          <c:showVal val="0"/>
          <c:showCatName val="0"/>
          <c:showSerName val="0"/>
          <c:showPercent val="0"/>
          <c:showBubbleSize val="0"/>
        </c:dLbls>
        <c:axId val="72836608"/>
        <c:axId val="72982528"/>
      </c:scatterChart>
      <c:valAx>
        <c:axId val="72836608"/>
        <c:scaling>
          <c:orientation val="minMax"/>
        </c:scaling>
        <c:delete val="0"/>
        <c:axPos val="b"/>
        <c:majorGridlines>
          <c:spPr>
            <a:ln w="3175">
              <a:solidFill>
                <a:srgbClr val="C0C0C0"/>
              </a:solidFill>
              <a:prstDash val="solid"/>
            </a:ln>
          </c:spPr>
        </c:majorGridlines>
        <c:title>
          <c:tx>
            <c:rich>
              <a:bodyPr/>
              <a:lstStyle/>
              <a:p>
                <a:pPr>
                  <a:defRPr sz="1000" b="0" i="0" u="none" strike="noStrike" baseline="0">
                    <a:solidFill>
                      <a:srgbClr val="000000"/>
                    </a:solidFill>
                    <a:latin typeface="Arial"/>
                    <a:ea typeface="Arial"/>
                    <a:cs typeface="Arial"/>
                  </a:defRPr>
                </a:pPr>
                <a:r>
                  <a:rPr lang="fr-FR" sz="1200" b="0" i="0" u="none" strike="noStrike" baseline="0">
                    <a:solidFill>
                      <a:srgbClr val="000000"/>
                    </a:solidFill>
                    <a:latin typeface="Arial"/>
                    <a:cs typeface="Arial"/>
                  </a:rPr>
                  <a:t>Angle de basculement ( ° )</a:t>
                </a:r>
              </a:p>
            </c:rich>
          </c:tx>
          <c:layout>
            <c:manualLayout>
              <c:xMode val="edge"/>
              <c:yMode val="edge"/>
              <c:x val="0.33253064585888414"/>
              <c:y val="0.9356232397927947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fr-FR"/>
          </a:p>
        </c:txPr>
        <c:crossAx val="72982528"/>
        <c:crosses val="autoZero"/>
        <c:crossBetween val="midCat"/>
        <c:majorUnit val="5"/>
      </c:valAx>
      <c:valAx>
        <c:axId val="72982528"/>
        <c:scaling>
          <c:orientation val="minMax"/>
        </c:scaling>
        <c:delete val="0"/>
        <c:axPos val="l"/>
        <c:majorGridlines>
          <c:spPr>
            <a:ln w="3175">
              <a:solidFill>
                <a:srgbClr val="C0C0C0"/>
              </a:solidFill>
              <a:prstDash val="solid"/>
            </a:ln>
          </c:spPr>
        </c:majorGridlines>
        <c:title>
          <c:tx>
            <c:rich>
              <a:bodyPr/>
              <a:lstStyle/>
              <a:p>
                <a:pPr>
                  <a:defRPr sz="1200" b="0" i="0" u="none" strike="noStrike" baseline="0">
                    <a:solidFill>
                      <a:srgbClr val="000000"/>
                    </a:solidFill>
                    <a:latin typeface="Arial"/>
                    <a:ea typeface="Arial"/>
                    <a:cs typeface="Arial"/>
                  </a:defRPr>
                </a:pPr>
                <a:r>
                  <a:rPr lang="fr-FR"/>
                  <a:t>Effort tangentiel sur poignée (N)</a:t>
                </a:r>
              </a:p>
            </c:rich>
          </c:tx>
          <c:layout>
            <c:manualLayout>
              <c:xMode val="edge"/>
              <c:yMode val="edge"/>
              <c:x val="1.20481328095839E-2"/>
              <c:y val="0.2296139655970997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fr-FR"/>
          </a:p>
        </c:txPr>
        <c:crossAx val="72836608"/>
        <c:crosses val="autoZero"/>
        <c:crossBetween val="midCat"/>
        <c:majorUnit val="25"/>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fr-FR"/>
    </a:p>
  </c:txPr>
  <c:printSettings>
    <c:headerFooter alignWithMargins="0"/>
    <c:pageMargins b="0.98425196899999967" l="0.78740157499999996" r="0.78740157499999996" t="0.98425196899999967" header="0.49212598450000017" footer="0.49212598450000017"/>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632203003904568E-2"/>
          <c:y val="3.0852994555353921E-2"/>
          <c:w val="0.91882711103989789"/>
          <c:h val="0.9437386569872962"/>
        </c:manualLayout>
      </c:layout>
      <c:scatterChart>
        <c:scatterStyle val="lineMarker"/>
        <c:varyColors val="0"/>
        <c:ser>
          <c:idx val="1"/>
          <c:order val="0"/>
          <c:spPr>
            <a:ln w="12700">
              <a:solidFill>
                <a:srgbClr val="FF00FF"/>
              </a:solidFill>
              <a:prstDash val="solid"/>
            </a:ln>
          </c:spPr>
          <c:marker>
            <c:symbol val="circle"/>
            <c:size val="7"/>
            <c:spPr>
              <a:solidFill>
                <a:srgbClr val="99CC00"/>
              </a:solidFill>
              <a:ln>
                <a:solidFill>
                  <a:srgbClr val="339966"/>
                </a:solidFill>
                <a:prstDash val="solid"/>
              </a:ln>
            </c:spPr>
          </c:marker>
          <c:xVal>
            <c:numRef>
              <c:f>'Calculs (ressort poussant)'!$E$86</c:f>
              <c:numCache>
                <c:formatCode>General</c:formatCode>
                <c:ptCount val="1"/>
                <c:pt idx="0">
                  <c:v>1253.7003230437488</c:v>
                </c:pt>
              </c:numCache>
            </c:numRef>
          </c:xVal>
          <c:yVal>
            <c:numRef>
              <c:f>'Calculs (ressort poussant)'!$F$86</c:f>
              <c:numCache>
                <c:formatCode>General</c:formatCode>
                <c:ptCount val="1"/>
                <c:pt idx="0">
                  <c:v>1122.1784617430508</c:v>
                </c:pt>
              </c:numCache>
            </c:numRef>
          </c:yVal>
          <c:smooth val="0"/>
        </c:ser>
        <c:ser>
          <c:idx val="0"/>
          <c:order val="1"/>
          <c:spPr>
            <a:ln w="25400">
              <a:solidFill>
                <a:srgbClr val="339966"/>
              </a:solidFill>
              <a:prstDash val="solid"/>
            </a:ln>
          </c:spPr>
          <c:marker>
            <c:symbol val="none"/>
          </c:marker>
          <c:xVal>
            <c:numRef>
              <c:f>'Calculs (ressort poussant)'!$E$90:$E$95</c:f>
              <c:numCache>
                <c:formatCode>General</c:formatCode>
                <c:ptCount val="6"/>
                <c:pt idx="0">
                  <c:v>2805.799707748221</c:v>
                </c:pt>
                <c:pt idx="1">
                  <c:v>1279.8632739476511</c:v>
                </c:pt>
                <c:pt idx="2">
                  <c:v>574.17070632347668</c:v>
                </c:pt>
                <c:pt idx="3">
                  <c:v>0</c:v>
                </c:pt>
                <c:pt idx="4">
                  <c:v>609.526045382804</c:v>
                </c:pt>
                <c:pt idx="5">
                  <c:v>574.17070632347668</c:v>
                </c:pt>
              </c:numCache>
            </c:numRef>
          </c:xVal>
          <c:yVal>
            <c:numRef>
              <c:f>'Calculs (ressort poussant)'!$F$90:$F$95</c:f>
              <c:numCache>
                <c:formatCode>General</c:formatCode>
                <c:ptCount val="6"/>
                <c:pt idx="0">
                  <c:v>1291.1769824466355</c:v>
                </c:pt>
                <c:pt idx="1">
                  <c:v>1279.8632739476509</c:v>
                </c:pt>
                <c:pt idx="2">
                  <c:v>574.17070632347657</c:v>
                </c:pt>
                <c:pt idx="3">
                  <c:v>0</c:v>
                </c:pt>
                <c:pt idx="4">
                  <c:v>538.81536726414924</c:v>
                </c:pt>
                <c:pt idx="5">
                  <c:v>574.17070632347657</c:v>
                </c:pt>
              </c:numCache>
            </c:numRef>
          </c:yVal>
          <c:smooth val="0"/>
        </c:ser>
        <c:ser>
          <c:idx val="3"/>
          <c:order val="2"/>
          <c:spPr>
            <a:ln w="38100">
              <a:solidFill>
                <a:srgbClr val="33CCCC"/>
              </a:solidFill>
              <a:prstDash val="solid"/>
            </a:ln>
          </c:spPr>
          <c:marker>
            <c:symbol val="circle"/>
            <c:size val="5"/>
            <c:spPr>
              <a:solidFill>
                <a:srgbClr val="33CCCC"/>
              </a:solidFill>
              <a:ln>
                <a:solidFill>
                  <a:srgbClr val="33CCCC"/>
                </a:solidFill>
                <a:prstDash val="solid"/>
              </a:ln>
            </c:spPr>
          </c:marker>
          <c:xVal>
            <c:numRef>
              <c:f>'Calculs (ressort poussant)'!$E$81:$E$82</c:f>
              <c:numCache>
                <c:formatCode>General</c:formatCode>
                <c:ptCount val="2"/>
                <c:pt idx="0">
                  <c:v>609.526045382804</c:v>
                </c:pt>
                <c:pt idx="1">
                  <c:v>265.99999999999994</c:v>
                </c:pt>
              </c:numCache>
            </c:numRef>
          </c:xVal>
          <c:yVal>
            <c:numRef>
              <c:f>'Calculs (ressort poussant)'!$F$81:$F$82</c:f>
              <c:numCache>
                <c:formatCode>General</c:formatCode>
                <c:ptCount val="2"/>
                <c:pt idx="0">
                  <c:v>538.81536726414924</c:v>
                </c:pt>
                <c:pt idx="1">
                  <c:v>-204.99999999999997</c:v>
                </c:pt>
              </c:numCache>
            </c:numRef>
          </c:yVal>
          <c:smooth val="0"/>
        </c:ser>
        <c:dLbls>
          <c:showLegendKey val="0"/>
          <c:showVal val="0"/>
          <c:showCatName val="0"/>
          <c:showSerName val="0"/>
          <c:showPercent val="0"/>
          <c:showBubbleSize val="0"/>
        </c:dLbls>
        <c:axId val="137802496"/>
        <c:axId val="138019968"/>
      </c:scatterChart>
      <c:valAx>
        <c:axId val="137802496"/>
        <c:scaling>
          <c:orientation val="minMax"/>
          <c:max val="3000"/>
          <c:min val="-200"/>
        </c:scaling>
        <c:delete val="0"/>
        <c:axPos val="b"/>
        <c:numFmt formatCode="General" sourceLinked="1"/>
        <c:majorTickMark val="none"/>
        <c:minorTickMark val="none"/>
        <c:tickLblPos val="none"/>
        <c:spPr>
          <a:ln w="3175">
            <a:solidFill>
              <a:srgbClr val="C0C0C0"/>
            </a:solidFill>
            <a:prstDash val="solid"/>
          </a:ln>
        </c:spPr>
        <c:txPr>
          <a:bodyPr rot="0" vert="horz"/>
          <a:lstStyle/>
          <a:p>
            <a:pPr>
              <a:defRPr sz="875" b="0" i="0" u="none" strike="noStrike" baseline="0">
                <a:solidFill>
                  <a:srgbClr val="969696"/>
                </a:solidFill>
                <a:latin typeface="Arial"/>
                <a:ea typeface="Arial"/>
                <a:cs typeface="Arial"/>
              </a:defRPr>
            </a:pPr>
            <a:endParaRPr lang="fr-FR"/>
          </a:p>
        </c:txPr>
        <c:crossAx val="138019968"/>
        <c:crosses val="autoZero"/>
        <c:crossBetween val="midCat"/>
        <c:majorUnit val="200"/>
      </c:valAx>
      <c:valAx>
        <c:axId val="138019968"/>
        <c:scaling>
          <c:orientation val="minMax"/>
          <c:max val="1400"/>
          <c:min val="-1400"/>
        </c:scaling>
        <c:delete val="0"/>
        <c:axPos val="l"/>
        <c:numFmt formatCode="General" sourceLinked="1"/>
        <c:majorTickMark val="none"/>
        <c:minorTickMark val="none"/>
        <c:tickLblPos val="none"/>
        <c:spPr>
          <a:ln w="3175">
            <a:solidFill>
              <a:srgbClr val="C0C0C0"/>
            </a:solidFill>
            <a:prstDash val="solid"/>
          </a:ln>
        </c:spPr>
        <c:txPr>
          <a:bodyPr rot="0" vert="horz"/>
          <a:lstStyle/>
          <a:p>
            <a:pPr>
              <a:defRPr sz="875" b="0" i="0" u="none" strike="noStrike" baseline="0">
                <a:solidFill>
                  <a:srgbClr val="969696"/>
                </a:solidFill>
                <a:latin typeface="Arial"/>
                <a:ea typeface="Arial"/>
                <a:cs typeface="Arial"/>
              </a:defRPr>
            </a:pPr>
            <a:endParaRPr lang="fr-FR"/>
          </a:p>
        </c:txPr>
        <c:crossAx val="137802496"/>
        <c:crosses val="autoZero"/>
        <c:crossBetween val="midCat"/>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75" b="0" i="0" u="none" strike="noStrike" baseline="0">
          <a:solidFill>
            <a:srgbClr val="000000"/>
          </a:solidFill>
          <a:latin typeface="Arial"/>
          <a:ea typeface="Arial"/>
          <a:cs typeface="Arial"/>
        </a:defRPr>
      </a:pPr>
      <a:endParaRPr lang="fr-FR"/>
    </a:p>
  </c:txPr>
  <c:printSettings>
    <c:headerFooter alignWithMargins="0"/>
    <c:pageMargins b="0.98425196899999967" l="0.78740157499999996" r="0.78740157499999996" t="0.98425196899999967" header="0.49212598450000017" footer="0.49212598450000017"/>
    <c:pageSetup paperSize="9" orientation="landscape" horizontalDpi="0"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0.14645754802448915"/>
          <c:y val="0.11481311793568932"/>
          <c:w val="0.81801544011323823"/>
          <c:h val="0.73795496014009165"/>
        </c:manualLayout>
      </c:layout>
      <c:scatterChart>
        <c:scatterStyle val="lineMarker"/>
        <c:varyColors val="0"/>
        <c:ser>
          <c:idx val="3"/>
          <c:order val="0"/>
          <c:tx>
            <c:v>Réaction axe O</c:v>
          </c:tx>
          <c:spPr>
            <a:ln w="12700">
              <a:solidFill>
                <a:srgbClr val="FF0000"/>
              </a:solidFill>
            </a:ln>
          </c:spPr>
          <c:marker>
            <c:symbol val="none"/>
          </c:marker>
          <c:xVal>
            <c:numRef>
              <c:f>'Calculs (ressort poussant)'!$B$55:$B$73</c:f>
              <c:numCache>
                <c:formatCode>General</c:formatCode>
                <c:ptCount val="19"/>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numCache>
            </c:numRef>
          </c:xVal>
          <c:yVal>
            <c:numRef>
              <c:f>'Calculs (ressort poussant)'!$V$55:$V$73</c:f>
              <c:numCache>
                <c:formatCode>0.00</c:formatCode>
                <c:ptCount val="19"/>
                <c:pt idx="0">
                  <c:v>11154.491336774427</c:v>
                </c:pt>
                <c:pt idx="1">
                  <c:v>10929.20370669253</c:v>
                </c:pt>
                <c:pt idx="2">
                  <c:v>10703.397865802464</c:v>
                </c:pt>
                <c:pt idx="3">
                  <c:v>10477.883753538194</c:v>
                </c:pt>
                <c:pt idx="4">
                  <c:v>10253.355581438662</c:v>
                </c:pt>
                <c:pt idx="5">
                  <c:v>10030.404173116289</c:v>
                </c:pt>
                <c:pt idx="6">
                  <c:v>9809.5298044827432</c:v>
                </c:pt>
                <c:pt idx="7">
                  <c:v>9591.154816302238</c:v>
                </c:pt>
                <c:pt idx="8">
                  <c:v>9375.6355069979745</c:v>
                </c:pt>
                <c:pt idx="9">
                  <c:v>9163.2730048046669</c:v>
                </c:pt>
                <c:pt idx="10">
                  <c:v>8954.3229648950546</c:v>
                </c:pt>
                <c:pt idx="11">
                  <c:v>8749.0040435712472</c:v>
                </c:pt>
                <c:pt idx="12">
                  <c:v>8547.5051746062018</c:v>
                </c:pt>
                <c:pt idx="13">
                  <c:v>8349.9917193797737</c:v>
                </c:pt>
                <c:pt idx="14">
                  <c:v>8156.6105891100096</c:v>
                </c:pt>
                <c:pt idx="15">
                  <c:v>7967.4944498172163</c:v>
                </c:pt>
                <c:pt idx="16">
                  <c:v>7782.7651231762193</c:v>
                </c:pt>
                <c:pt idx="17">
                  <c:v>7602.5362925740319</c:v>
                </c:pt>
                <c:pt idx="18">
                  <c:v>7426.9156160541552</c:v>
                </c:pt>
              </c:numCache>
            </c:numRef>
          </c:yVal>
          <c:smooth val="0"/>
        </c:ser>
        <c:dLbls>
          <c:showLegendKey val="0"/>
          <c:showVal val="0"/>
          <c:showCatName val="0"/>
          <c:showSerName val="0"/>
          <c:showPercent val="0"/>
          <c:showBubbleSize val="0"/>
        </c:dLbls>
        <c:axId val="138130944"/>
        <c:axId val="138133888"/>
      </c:scatterChart>
      <c:valAx>
        <c:axId val="138130944"/>
        <c:scaling>
          <c:orientation val="minMax"/>
        </c:scaling>
        <c:delete val="0"/>
        <c:axPos val="b"/>
        <c:majorGridlines>
          <c:spPr>
            <a:ln w="3175">
              <a:solidFill>
                <a:srgbClr val="C0C0C0"/>
              </a:solidFill>
              <a:prstDash val="solid"/>
            </a:ln>
          </c:spPr>
        </c:majorGridlines>
        <c:title>
          <c:tx>
            <c:rich>
              <a:bodyPr/>
              <a:lstStyle/>
              <a:p>
                <a:pPr>
                  <a:defRPr sz="1200" b="0" i="0" u="none" strike="noStrike" baseline="0">
                    <a:solidFill>
                      <a:srgbClr val="000000"/>
                    </a:solidFill>
                    <a:latin typeface="Arial"/>
                    <a:ea typeface="Arial"/>
                    <a:cs typeface="Arial"/>
                  </a:defRPr>
                </a:pPr>
                <a:r>
                  <a:rPr lang="fr-FR" sz="1200" b="0" i="0" u="none" strike="noStrike" baseline="0">
                    <a:solidFill>
                      <a:srgbClr val="000000"/>
                    </a:solidFill>
                    <a:latin typeface="Arial"/>
                    <a:cs typeface="Arial"/>
                  </a:rPr>
                  <a:t>Angle de basculement ( ° )</a:t>
                </a:r>
              </a:p>
            </c:rich>
          </c:tx>
          <c:layout>
            <c:manualLayout>
              <c:xMode val="edge"/>
              <c:yMode val="edge"/>
              <c:x val="0.42793798043653075"/>
              <c:y val="0.923878839469391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fr-FR"/>
          </a:p>
        </c:txPr>
        <c:crossAx val="138133888"/>
        <c:crosses val="autoZero"/>
        <c:crossBetween val="midCat"/>
        <c:majorUnit val="10"/>
      </c:valAx>
      <c:valAx>
        <c:axId val="138133888"/>
        <c:scaling>
          <c:orientation val="minMax"/>
        </c:scaling>
        <c:delete val="0"/>
        <c:axPos val="l"/>
        <c:majorGridlines>
          <c:spPr>
            <a:ln w="3175">
              <a:solidFill>
                <a:srgbClr val="C0C0C0"/>
              </a:solidFill>
              <a:prstDash val="solid"/>
            </a:ln>
          </c:spPr>
        </c:majorGridlines>
        <c:title>
          <c:tx>
            <c:rich>
              <a:bodyPr/>
              <a:lstStyle/>
              <a:p>
                <a:pPr>
                  <a:defRPr sz="1200" b="0" i="0" u="none" strike="noStrike" baseline="0">
                    <a:solidFill>
                      <a:srgbClr val="000000"/>
                    </a:solidFill>
                    <a:latin typeface="Arial"/>
                    <a:ea typeface="Arial"/>
                    <a:cs typeface="Arial"/>
                  </a:defRPr>
                </a:pPr>
                <a:r>
                  <a:rPr lang="fr-FR" sz="1200"/>
                  <a:t>Réaction (N)</a:t>
                </a:r>
              </a:p>
            </c:rich>
          </c:tx>
          <c:layout>
            <c:manualLayout>
              <c:xMode val="edge"/>
              <c:yMode val="edge"/>
              <c:x val="2.3897058823529424E-2"/>
              <c:y val="0.4240283236715612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fr-FR"/>
          </a:p>
        </c:txPr>
        <c:crossAx val="138130944"/>
        <c:crosses val="autoZero"/>
        <c:crossBetween val="midCat"/>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fr-FR"/>
    </a:p>
  </c:txPr>
  <c:printSettings>
    <c:headerFooter alignWithMargins="0"/>
    <c:pageMargins b="0.98425196899999967" l="0.78740157499999996" r="0.78740157499999996" t="0.98425196899999967" header="0.49212598450000017" footer="0.49212598450000017"/>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7.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xdr:col>
      <xdr:colOff>0</xdr:colOff>
      <xdr:row>2</xdr:row>
      <xdr:rowOff>279400</xdr:rowOff>
    </xdr:from>
    <xdr:to>
      <xdr:col>8</xdr:col>
      <xdr:colOff>1079500</xdr:colOff>
      <xdr:row>30</xdr:row>
      <xdr:rowOff>15875</xdr:rowOff>
    </xdr:to>
    <xdr:graphicFrame macro="">
      <xdr:nvGraphicFramePr>
        <xdr:cNvPr id="1159"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279400</xdr:colOff>
      <xdr:row>2</xdr:row>
      <xdr:rowOff>22226</xdr:rowOff>
    </xdr:from>
    <xdr:to>
      <xdr:col>14</xdr:col>
      <xdr:colOff>711200</xdr:colOff>
      <xdr:row>30</xdr:row>
      <xdr:rowOff>127000</xdr:rowOff>
    </xdr:to>
    <xdr:graphicFrame macro="">
      <xdr:nvGraphicFramePr>
        <xdr:cNvPr id="1161" name="Graphique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139701</xdr:colOff>
      <xdr:row>3</xdr:row>
      <xdr:rowOff>41274</xdr:rowOff>
    </xdr:from>
    <xdr:to>
      <xdr:col>20</xdr:col>
      <xdr:colOff>6656</xdr:colOff>
      <xdr:row>30</xdr:row>
      <xdr:rowOff>50800</xdr:rowOff>
    </xdr:to>
    <xdr:graphicFrame macro="">
      <xdr:nvGraphicFramePr>
        <xdr:cNvPr id="15" name="Graphique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584200</xdr:colOff>
      <xdr:row>48</xdr:row>
      <xdr:rowOff>88900</xdr:rowOff>
    </xdr:from>
    <xdr:to>
      <xdr:col>16</xdr:col>
      <xdr:colOff>584200</xdr:colOff>
      <xdr:row>50</xdr:row>
      <xdr:rowOff>127000</xdr:rowOff>
    </xdr:to>
    <xdr:cxnSp macro="">
      <xdr:nvCxnSpPr>
        <xdr:cNvPr id="13" name="Connecteur droit avec flèche 12"/>
        <xdr:cNvCxnSpPr/>
      </xdr:nvCxnSpPr>
      <xdr:spPr>
        <a:xfrm>
          <a:off x="17500600" y="8509000"/>
          <a:ext cx="0" cy="393700"/>
        </a:xfrm>
        <a:prstGeom prst="straightConnector1">
          <a:avLst/>
        </a:prstGeom>
        <a:ln w="952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558800</xdr:colOff>
      <xdr:row>47</xdr:row>
      <xdr:rowOff>88900</xdr:rowOff>
    </xdr:from>
    <xdr:to>
      <xdr:col>21</xdr:col>
      <xdr:colOff>558800</xdr:colOff>
      <xdr:row>50</xdr:row>
      <xdr:rowOff>127000</xdr:rowOff>
    </xdr:to>
    <xdr:cxnSp macro="">
      <xdr:nvCxnSpPr>
        <xdr:cNvPr id="14" name="Connecteur droit avec flèche 13"/>
        <xdr:cNvCxnSpPr/>
      </xdr:nvCxnSpPr>
      <xdr:spPr>
        <a:xfrm>
          <a:off x="22936200" y="8331200"/>
          <a:ext cx="0" cy="571500"/>
        </a:xfrm>
        <a:prstGeom prst="straightConnector1">
          <a:avLst/>
        </a:prstGeom>
        <a:ln w="952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10</xdr:col>
          <xdr:colOff>180975</xdr:colOff>
          <xdr:row>35</xdr:row>
          <xdr:rowOff>9525</xdr:rowOff>
        </xdr:from>
        <xdr:to>
          <xdr:col>11</xdr:col>
          <xdr:colOff>933450</xdr:colOff>
          <xdr:row>36</xdr:row>
          <xdr:rowOff>38100</xdr:rowOff>
        </xdr:to>
        <xdr:sp macro="" textlink="">
          <xdr:nvSpPr>
            <xdr:cNvPr id="1038" name="ScrollBar1"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38</xdr:row>
          <xdr:rowOff>161925</xdr:rowOff>
        </xdr:from>
        <xdr:to>
          <xdr:col>11</xdr:col>
          <xdr:colOff>933450</xdr:colOff>
          <xdr:row>40</xdr:row>
          <xdr:rowOff>19050</xdr:rowOff>
        </xdr:to>
        <xdr:sp macro="" textlink="">
          <xdr:nvSpPr>
            <xdr:cNvPr id="1040" name="ScrollBar2" hidden="1">
              <a:extLst>
                <a:ext uri="{63B3BB69-23CF-44E3-9099-C40C66FF867C}">
                  <a14:compatExt spid="_x0000_s10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800100</xdr:colOff>
          <xdr:row>36</xdr:row>
          <xdr:rowOff>0</xdr:rowOff>
        </xdr:from>
        <xdr:to>
          <xdr:col>14</xdr:col>
          <xdr:colOff>657225</xdr:colOff>
          <xdr:row>37</xdr:row>
          <xdr:rowOff>161925</xdr:rowOff>
        </xdr:to>
        <xdr:sp macro="" textlink="">
          <xdr:nvSpPr>
            <xdr:cNvPr id="1042" name="CommandButton1" hidden="1">
              <a:extLst>
                <a:ext uri="{63B3BB69-23CF-44E3-9099-C40C66FF867C}">
                  <a14:compatExt spid="_x0000_s10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409575</xdr:colOff>
          <xdr:row>37</xdr:row>
          <xdr:rowOff>66675</xdr:rowOff>
        </xdr:from>
        <xdr:to>
          <xdr:col>11</xdr:col>
          <xdr:colOff>942975</xdr:colOff>
          <xdr:row>38</xdr:row>
          <xdr:rowOff>142875</xdr:rowOff>
        </xdr:to>
        <xdr:sp macro="" textlink="">
          <xdr:nvSpPr>
            <xdr:cNvPr id="1047" name="TextBox1"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800100</xdr:colOff>
          <xdr:row>38</xdr:row>
          <xdr:rowOff>38100</xdr:rowOff>
        </xdr:from>
        <xdr:to>
          <xdr:col>14</xdr:col>
          <xdr:colOff>657225</xdr:colOff>
          <xdr:row>40</xdr:row>
          <xdr:rowOff>28575</xdr:rowOff>
        </xdr:to>
        <xdr:sp macro="" textlink="">
          <xdr:nvSpPr>
            <xdr:cNvPr id="1054" name="CommandButton2" hidden="1">
              <a:extLst>
                <a:ext uri="{63B3BB69-23CF-44E3-9099-C40C66FF867C}">
                  <a14:compatExt spid="_x0000_s1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409575</xdr:colOff>
          <xdr:row>33</xdr:row>
          <xdr:rowOff>66675</xdr:rowOff>
        </xdr:from>
        <xdr:to>
          <xdr:col>11</xdr:col>
          <xdr:colOff>942975</xdr:colOff>
          <xdr:row>34</xdr:row>
          <xdr:rowOff>142875</xdr:rowOff>
        </xdr:to>
        <xdr:sp macro="" textlink="">
          <xdr:nvSpPr>
            <xdr:cNvPr id="1057" name="TextBox2" hidden="1">
              <a:extLst>
                <a:ext uri="{63B3BB69-23CF-44E3-9099-C40C66FF867C}">
                  <a14:compatExt spid="_x0000_s105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8</xdr:col>
      <xdr:colOff>38100</xdr:colOff>
      <xdr:row>51</xdr:row>
      <xdr:rowOff>152400</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57150"/>
          <a:ext cx="6067425" cy="8353425"/>
        </a:xfrm>
        <a:prstGeom prst="rect">
          <a:avLst/>
        </a:prstGeom>
      </xdr:spPr>
    </xdr:pic>
    <xdr:clientData/>
  </xdr:twoCellAnchor>
</xdr:wsDr>
</file>

<file path=xl/theme/theme1.xml><?xml version="1.0" encoding="utf-8"?>
<a:theme xmlns:a="http://schemas.openxmlformats.org/drawingml/2006/main" name="MonThème1">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chemeClr val="tx1"/>
          </a:solidFill>
        </a:ln>
      </a:spPr>
      <a:bodyPr vertOverflow="clip" horzOverflow="clip" rtlCol="0" anchor="t"/>
      <a:lstStyle>
        <a:defPPr algn="l">
          <a:defRPr sz="1100"/>
        </a:defPPr>
      </a:lstStyle>
      <a:style>
        <a:lnRef idx="1">
          <a:schemeClr val="accent1"/>
        </a:lnRef>
        <a:fillRef idx="0">
          <a:schemeClr val="accent1"/>
        </a:fillRef>
        <a:effectRef idx="0">
          <a:schemeClr val="accent1"/>
        </a:effectRef>
        <a:fontRef idx="minor">
          <a:schemeClr val="tx1"/>
        </a:fontRef>
      </a:style>
    </a:spDef>
    <a:lnDef>
      <a:spPr>
        <a:ln w="9525">
          <a:solidFill>
            <a:sysClr val="windowText" lastClr="000000"/>
          </a:solidFill>
        </a:ln>
      </a:spPr>
      <a:bodyPr/>
      <a:lstStyle/>
      <a:style>
        <a:lnRef idx="1">
          <a:schemeClr val="accent1"/>
        </a:lnRef>
        <a:fillRef idx="0">
          <a:schemeClr val="accent1"/>
        </a:fillRef>
        <a:effectRef idx="0">
          <a:schemeClr val="accent1"/>
        </a:effectRef>
        <a:fontRef idx="minor">
          <a:schemeClr val="tx1"/>
        </a:fontRef>
      </a:style>
    </a:lnDef>
    <a:txDef>
      <a:spPr>
        <a:noFill/>
        <a:ln w="9525" cmpd="sng">
          <a:noFill/>
        </a:ln>
      </a:spPr>
      <a:bodyPr vertOverflow="clip" horzOverflow="clip" wrap="square" rtlCol="0" anchor="t"/>
      <a:lstStyle>
        <a:defPPr>
          <a:defRPr sz="1000">
            <a:latin typeface="Arial" pitchFamily="34" charset="0"/>
            <a:cs typeface="Arial" pitchFamily="34" charset="0"/>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control" Target="../activeX/activeX5.xml"/><Relationship Id="rId3" Type="http://schemas.openxmlformats.org/officeDocument/2006/relationships/drawing" Target="../drawings/drawing1.xml"/><Relationship Id="rId7" Type="http://schemas.openxmlformats.org/officeDocument/2006/relationships/control" Target="../activeX/activeX2.xml"/><Relationship Id="rId12" Type="http://schemas.openxmlformats.org/officeDocument/2006/relationships/image" Target="../media/image4.emf"/><Relationship Id="rId2" Type="http://schemas.openxmlformats.org/officeDocument/2006/relationships/printerSettings" Target="../printerSettings/printerSettings1.bin"/><Relationship Id="rId16" Type="http://schemas.openxmlformats.org/officeDocument/2006/relationships/image" Target="../media/image6.emf"/><Relationship Id="rId1" Type="http://schemas.openxmlformats.org/officeDocument/2006/relationships/hyperlink" Target="http://www.skf.com/files/775479.pdf" TargetMode="External"/><Relationship Id="rId6" Type="http://schemas.openxmlformats.org/officeDocument/2006/relationships/image" Target="../media/image1.emf"/><Relationship Id="rId11" Type="http://schemas.openxmlformats.org/officeDocument/2006/relationships/control" Target="../activeX/activeX4.xml"/><Relationship Id="rId5" Type="http://schemas.openxmlformats.org/officeDocument/2006/relationships/control" Target="../activeX/activeX1.xml"/><Relationship Id="rId15" Type="http://schemas.openxmlformats.org/officeDocument/2006/relationships/control" Target="../activeX/activeX6.xml"/><Relationship Id="rId10" Type="http://schemas.openxmlformats.org/officeDocument/2006/relationships/image" Target="../media/image3.emf"/><Relationship Id="rId4" Type="http://schemas.openxmlformats.org/officeDocument/2006/relationships/vmlDrawing" Target="../drawings/vmlDrawing1.vml"/><Relationship Id="rId9" Type="http://schemas.openxmlformats.org/officeDocument/2006/relationships/control" Target="../activeX/activeX3.xml"/><Relationship Id="rId14" Type="http://schemas.openxmlformats.org/officeDocument/2006/relationships/image" Target="../media/image5.emf"/></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L36"/>
  <sheetViews>
    <sheetView showGridLines="0" workbookViewId="0">
      <pane xSplit="12" ySplit="33" topLeftCell="M34" activePane="bottomRight" state="frozen"/>
      <selection pane="topRight" activeCell="M1" sqref="M1"/>
      <selection pane="bottomLeft" activeCell="A32" sqref="A32"/>
      <selection pane="bottomRight" activeCell="B2" sqref="B2:K3"/>
    </sheetView>
  </sheetViews>
  <sheetFormatPr baseColWidth="10" defaultRowHeight="12.75" x14ac:dyDescent="0.2"/>
  <cols>
    <col min="1" max="1" width="34.85546875" customWidth="1"/>
    <col min="11" max="11" width="11.5703125" customWidth="1"/>
    <col min="12" max="12" width="27" customWidth="1"/>
  </cols>
  <sheetData>
    <row r="1" spans="1:12" ht="22.5" customHeight="1" x14ac:dyDescent="0.2">
      <c r="A1" s="32"/>
      <c r="B1" s="32"/>
      <c r="C1" s="32"/>
      <c r="D1" s="32"/>
      <c r="E1" s="32"/>
      <c r="F1" s="32"/>
      <c r="G1" s="32"/>
      <c r="H1" s="32"/>
      <c r="I1" s="32"/>
      <c r="J1" s="32"/>
      <c r="K1" s="32"/>
      <c r="L1" s="32"/>
    </row>
    <row r="2" spans="1:12" ht="12.75" customHeight="1" x14ac:dyDescent="0.2">
      <c r="A2" s="32"/>
      <c r="B2" s="136" t="s">
        <v>98</v>
      </c>
      <c r="C2" s="137"/>
      <c r="D2" s="137"/>
      <c r="E2" s="137"/>
      <c r="F2" s="137"/>
      <c r="G2" s="137"/>
      <c r="H2" s="137"/>
      <c r="I2" s="137"/>
      <c r="J2" s="137"/>
      <c r="K2" s="137"/>
      <c r="L2" s="32"/>
    </row>
    <row r="3" spans="1:12" ht="25.5" customHeight="1" x14ac:dyDescent="0.2">
      <c r="A3" s="32"/>
      <c r="B3" s="137"/>
      <c r="C3" s="137"/>
      <c r="D3" s="137"/>
      <c r="E3" s="137"/>
      <c r="F3" s="137"/>
      <c r="G3" s="137"/>
      <c r="H3" s="137"/>
      <c r="I3" s="137"/>
      <c r="J3" s="137"/>
      <c r="K3" s="137"/>
      <c r="L3" s="32"/>
    </row>
    <row r="4" spans="1:12" ht="25.5" customHeight="1" x14ac:dyDescent="0.2">
      <c r="A4" s="32"/>
      <c r="B4" s="32"/>
      <c r="C4" s="32"/>
      <c r="D4" s="32"/>
      <c r="E4" s="32"/>
      <c r="F4" s="32"/>
      <c r="G4" s="32"/>
      <c r="H4" s="32"/>
      <c r="I4" s="32"/>
      <c r="J4" s="32"/>
      <c r="K4" s="32"/>
      <c r="L4" s="32"/>
    </row>
    <row r="5" spans="1:12" ht="12.75" customHeight="1" x14ac:dyDescent="0.2">
      <c r="A5" s="32"/>
      <c r="B5" s="138" t="s">
        <v>99</v>
      </c>
      <c r="C5" s="138"/>
      <c r="D5" s="138"/>
      <c r="E5" s="138"/>
      <c r="F5" s="138"/>
      <c r="G5" s="138"/>
      <c r="H5" s="138"/>
      <c r="I5" s="138"/>
      <c r="J5" s="138"/>
      <c r="K5" s="138"/>
      <c r="L5" s="32"/>
    </row>
    <row r="6" spans="1:12" x14ac:dyDescent="0.2">
      <c r="A6" s="32"/>
      <c r="B6" s="138"/>
      <c r="C6" s="138"/>
      <c r="D6" s="138"/>
      <c r="E6" s="138"/>
      <c r="F6" s="138"/>
      <c r="G6" s="138"/>
      <c r="H6" s="138"/>
      <c r="I6" s="138"/>
      <c r="J6" s="138"/>
      <c r="K6" s="138"/>
      <c r="L6" s="32"/>
    </row>
    <row r="7" spans="1:12" x14ac:dyDescent="0.2">
      <c r="A7" s="32"/>
      <c r="B7" s="138"/>
      <c r="C7" s="138"/>
      <c r="D7" s="138"/>
      <c r="E7" s="138"/>
      <c r="F7" s="138"/>
      <c r="G7" s="138"/>
      <c r="H7" s="138"/>
      <c r="I7" s="138"/>
      <c r="J7" s="138"/>
      <c r="K7" s="138"/>
      <c r="L7" s="32"/>
    </row>
    <row r="8" spans="1:12" x14ac:dyDescent="0.2">
      <c r="A8" s="32"/>
      <c r="B8" s="138"/>
      <c r="C8" s="138"/>
      <c r="D8" s="138"/>
      <c r="E8" s="138"/>
      <c r="F8" s="138"/>
      <c r="G8" s="138"/>
      <c r="H8" s="138"/>
      <c r="I8" s="138"/>
      <c r="J8" s="138"/>
      <c r="K8" s="138"/>
      <c r="L8" s="32"/>
    </row>
    <row r="9" spans="1:12" x14ac:dyDescent="0.2">
      <c r="A9" s="32"/>
      <c r="B9" s="138"/>
      <c r="C9" s="138"/>
      <c r="D9" s="138"/>
      <c r="E9" s="138"/>
      <c r="F9" s="138"/>
      <c r="G9" s="138"/>
      <c r="H9" s="138"/>
      <c r="I9" s="138"/>
      <c r="J9" s="138"/>
      <c r="K9" s="138"/>
      <c r="L9" s="32"/>
    </row>
    <row r="10" spans="1:12" x14ac:dyDescent="0.2">
      <c r="A10" s="32"/>
      <c r="B10" s="138"/>
      <c r="C10" s="138"/>
      <c r="D10" s="138"/>
      <c r="E10" s="138"/>
      <c r="F10" s="138"/>
      <c r="G10" s="138"/>
      <c r="H10" s="138"/>
      <c r="I10" s="138"/>
      <c r="J10" s="138"/>
      <c r="K10" s="138"/>
      <c r="L10" s="32"/>
    </row>
    <row r="11" spans="1:12" x14ac:dyDescent="0.2">
      <c r="A11" s="32"/>
      <c r="B11" s="138"/>
      <c r="C11" s="138"/>
      <c r="D11" s="138"/>
      <c r="E11" s="138"/>
      <c r="F11" s="138"/>
      <c r="G11" s="138"/>
      <c r="H11" s="138"/>
      <c r="I11" s="138"/>
      <c r="J11" s="138"/>
      <c r="K11" s="138"/>
      <c r="L11" s="32"/>
    </row>
    <row r="12" spans="1:12" x14ac:dyDescent="0.2">
      <c r="A12" s="32"/>
      <c r="B12" s="138"/>
      <c r="C12" s="138"/>
      <c r="D12" s="138"/>
      <c r="E12" s="138"/>
      <c r="F12" s="138"/>
      <c r="G12" s="138"/>
      <c r="H12" s="138"/>
      <c r="I12" s="138"/>
      <c r="J12" s="138"/>
      <c r="K12" s="138"/>
      <c r="L12" s="32"/>
    </row>
    <row r="13" spans="1:12" x14ac:dyDescent="0.2">
      <c r="A13" s="32"/>
      <c r="B13" s="138"/>
      <c r="C13" s="138"/>
      <c r="D13" s="138"/>
      <c r="E13" s="138"/>
      <c r="F13" s="138"/>
      <c r="G13" s="138"/>
      <c r="H13" s="138"/>
      <c r="I13" s="138"/>
      <c r="J13" s="138"/>
      <c r="K13" s="138"/>
      <c r="L13" s="32"/>
    </row>
    <row r="14" spans="1:12" x14ac:dyDescent="0.2">
      <c r="A14" s="32"/>
      <c r="B14" s="138"/>
      <c r="C14" s="138"/>
      <c r="D14" s="138"/>
      <c r="E14" s="138"/>
      <c r="F14" s="138"/>
      <c r="G14" s="138"/>
      <c r="H14" s="138"/>
      <c r="I14" s="138"/>
      <c r="J14" s="138"/>
      <c r="K14" s="138"/>
      <c r="L14" s="32"/>
    </row>
    <row r="15" spans="1:12" x14ac:dyDescent="0.2">
      <c r="A15" s="32"/>
      <c r="B15" s="138"/>
      <c r="C15" s="138"/>
      <c r="D15" s="138"/>
      <c r="E15" s="138"/>
      <c r="F15" s="138"/>
      <c r="G15" s="138"/>
      <c r="H15" s="138"/>
      <c r="I15" s="138"/>
      <c r="J15" s="138"/>
      <c r="K15" s="138"/>
      <c r="L15" s="32"/>
    </row>
    <row r="16" spans="1:12" x14ac:dyDescent="0.2">
      <c r="A16" s="32"/>
      <c r="B16" s="138"/>
      <c r="C16" s="138"/>
      <c r="D16" s="138"/>
      <c r="E16" s="138"/>
      <c r="F16" s="138"/>
      <c r="G16" s="138"/>
      <c r="H16" s="138"/>
      <c r="I16" s="138"/>
      <c r="J16" s="138"/>
      <c r="K16" s="138"/>
      <c r="L16" s="32"/>
    </row>
    <row r="17" spans="1:12" x14ac:dyDescent="0.2">
      <c r="A17" s="32"/>
      <c r="B17" s="138"/>
      <c r="C17" s="138"/>
      <c r="D17" s="138"/>
      <c r="E17" s="138"/>
      <c r="F17" s="138"/>
      <c r="G17" s="138"/>
      <c r="H17" s="138"/>
      <c r="I17" s="138"/>
      <c r="J17" s="138"/>
      <c r="K17" s="138"/>
      <c r="L17" s="32"/>
    </row>
    <row r="18" spans="1:12" x14ac:dyDescent="0.2">
      <c r="A18" s="32"/>
      <c r="B18" s="138"/>
      <c r="C18" s="138"/>
      <c r="D18" s="138"/>
      <c r="E18" s="138"/>
      <c r="F18" s="138"/>
      <c r="G18" s="138"/>
      <c r="H18" s="138"/>
      <c r="I18" s="138"/>
      <c r="J18" s="138"/>
      <c r="K18" s="138"/>
      <c r="L18" s="32"/>
    </row>
    <row r="19" spans="1:12" x14ac:dyDescent="0.2">
      <c r="A19" s="32"/>
      <c r="B19" s="138"/>
      <c r="C19" s="138"/>
      <c r="D19" s="138"/>
      <c r="E19" s="138"/>
      <c r="F19" s="138"/>
      <c r="G19" s="138"/>
      <c r="H19" s="138"/>
      <c r="I19" s="138"/>
      <c r="J19" s="138"/>
      <c r="K19" s="138"/>
      <c r="L19" s="32"/>
    </row>
    <row r="20" spans="1:12" x14ac:dyDescent="0.2">
      <c r="A20" s="32"/>
      <c r="B20" s="138"/>
      <c r="C20" s="138"/>
      <c r="D20" s="138"/>
      <c r="E20" s="138"/>
      <c r="F20" s="138"/>
      <c r="G20" s="138"/>
      <c r="H20" s="138"/>
      <c r="I20" s="138"/>
      <c r="J20" s="138"/>
      <c r="K20" s="138"/>
      <c r="L20" s="32"/>
    </row>
    <row r="21" spans="1:12" x14ac:dyDescent="0.2">
      <c r="A21" s="32"/>
      <c r="B21" s="138"/>
      <c r="C21" s="138"/>
      <c r="D21" s="138"/>
      <c r="E21" s="138"/>
      <c r="F21" s="138"/>
      <c r="G21" s="138"/>
      <c r="H21" s="138"/>
      <c r="I21" s="138"/>
      <c r="J21" s="138"/>
      <c r="K21" s="138"/>
      <c r="L21" s="32"/>
    </row>
    <row r="22" spans="1:12" x14ac:dyDescent="0.2">
      <c r="A22" s="32"/>
      <c r="B22" s="138"/>
      <c r="C22" s="138"/>
      <c r="D22" s="138"/>
      <c r="E22" s="138"/>
      <c r="F22" s="138"/>
      <c r="G22" s="138"/>
      <c r="H22" s="138"/>
      <c r="I22" s="138"/>
      <c r="J22" s="138"/>
      <c r="K22" s="138"/>
      <c r="L22" s="32"/>
    </row>
    <row r="23" spans="1:12" x14ac:dyDescent="0.2">
      <c r="A23" s="32"/>
      <c r="B23" s="138"/>
      <c r="C23" s="138"/>
      <c r="D23" s="138"/>
      <c r="E23" s="138"/>
      <c r="F23" s="138"/>
      <c r="G23" s="138"/>
      <c r="H23" s="138"/>
      <c r="I23" s="138"/>
      <c r="J23" s="138"/>
      <c r="K23" s="138"/>
      <c r="L23" s="32"/>
    </row>
    <row r="24" spans="1:12" x14ac:dyDescent="0.2">
      <c r="A24" s="32"/>
      <c r="B24" s="138"/>
      <c r="C24" s="138"/>
      <c r="D24" s="138"/>
      <c r="E24" s="138"/>
      <c r="F24" s="138"/>
      <c r="G24" s="138"/>
      <c r="H24" s="138"/>
      <c r="I24" s="138"/>
      <c r="J24" s="138"/>
      <c r="K24" s="138"/>
      <c r="L24" s="32"/>
    </row>
    <row r="25" spans="1:12" x14ac:dyDescent="0.2">
      <c r="A25" s="32"/>
      <c r="B25" s="138"/>
      <c r="C25" s="138"/>
      <c r="D25" s="138"/>
      <c r="E25" s="138"/>
      <c r="F25" s="138"/>
      <c r="G25" s="138"/>
      <c r="H25" s="138"/>
      <c r="I25" s="138"/>
      <c r="J25" s="138"/>
      <c r="K25" s="138"/>
      <c r="L25" s="32"/>
    </row>
    <row r="26" spans="1:12" x14ac:dyDescent="0.2">
      <c r="A26" s="32"/>
      <c r="B26" s="138"/>
      <c r="C26" s="138"/>
      <c r="D26" s="138"/>
      <c r="E26" s="138"/>
      <c r="F26" s="138"/>
      <c r="G26" s="138"/>
      <c r="H26" s="138"/>
      <c r="I26" s="138"/>
      <c r="J26" s="138"/>
      <c r="K26" s="138"/>
      <c r="L26" s="32"/>
    </row>
    <row r="27" spans="1:12" x14ac:dyDescent="0.2">
      <c r="A27" s="32"/>
      <c r="B27" s="138"/>
      <c r="C27" s="138"/>
      <c r="D27" s="138"/>
      <c r="E27" s="138"/>
      <c r="F27" s="138"/>
      <c r="G27" s="138"/>
      <c r="H27" s="138"/>
      <c r="I27" s="138"/>
      <c r="J27" s="138"/>
      <c r="K27" s="138"/>
      <c r="L27" s="32"/>
    </row>
    <row r="28" spans="1:12" x14ac:dyDescent="0.2">
      <c r="A28" s="32"/>
      <c r="B28" s="138"/>
      <c r="C28" s="138"/>
      <c r="D28" s="138"/>
      <c r="E28" s="138"/>
      <c r="F28" s="138"/>
      <c r="G28" s="138"/>
      <c r="H28" s="138"/>
      <c r="I28" s="138"/>
      <c r="J28" s="138"/>
      <c r="K28" s="138"/>
      <c r="L28" s="32"/>
    </row>
    <row r="29" spans="1:12" x14ac:dyDescent="0.2">
      <c r="A29" s="32"/>
      <c r="B29" s="138"/>
      <c r="C29" s="138"/>
      <c r="D29" s="138"/>
      <c r="E29" s="138"/>
      <c r="F29" s="138"/>
      <c r="G29" s="138"/>
      <c r="H29" s="138"/>
      <c r="I29" s="138"/>
      <c r="J29" s="138"/>
      <c r="K29" s="138"/>
      <c r="L29" s="32"/>
    </row>
    <row r="30" spans="1:12" x14ac:dyDescent="0.2">
      <c r="A30" s="32"/>
      <c r="B30" s="138"/>
      <c r="C30" s="138"/>
      <c r="D30" s="138"/>
      <c r="E30" s="138"/>
      <c r="F30" s="138"/>
      <c r="G30" s="138"/>
      <c r="H30" s="138"/>
      <c r="I30" s="138"/>
      <c r="J30" s="138"/>
      <c r="K30" s="138"/>
      <c r="L30" s="32"/>
    </row>
    <row r="31" spans="1:12" x14ac:dyDescent="0.2">
      <c r="A31" s="32"/>
      <c r="B31" s="138"/>
      <c r="C31" s="138"/>
      <c r="D31" s="138"/>
      <c r="E31" s="138"/>
      <c r="F31" s="138"/>
      <c r="G31" s="138"/>
      <c r="H31" s="138"/>
      <c r="I31" s="138"/>
      <c r="J31" s="138"/>
      <c r="K31" s="138"/>
      <c r="L31" s="32"/>
    </row>
    <row r="32" spans="1:12" x14ac:dyDescent="0.2">
      <c r="A32" s="32"/>
      <c r="B32" s="138"/>
      <c r="C32" s="138"/>
      <c r="D32" s="138"/>
      <c r="E32" s="138"/>
      <c r="F32" s="138"/>
      <c r="G32" s="138"/>
      <c r="H32" s="138"/>
      <c r="I32" s="138"/>
      <c r="J32" s="138"/>
      <c r="K32" s="138"/>
      <c r="L32" s="32"/>
    </row>
    <row r="33" spans="1:12" x14ac:dyDescent="0.2">
      <c r="A33" s="32"/>
      <c r="B33" s="138"/>
      <c r="C33" s="138"/>
      <c r="D33" s="138"/>
      <c r="E33" s="138"/>
      <c r="F33" s="138"/>
      <c r="G33" s="138"/>
      <c r="H33" s="138"/>
      <c r="I33" s="138"/>
      <c r="J33" s="138"/>
      <c r="K33" s="138"/>
      <c r="L33" s="32"/>
    </row>
    <row r="34" spans="1:12" x14ac:dyDescent="0.2">
      <c r="A34" s="32"/>
      <c r="B34" s="138"/>
      <c r="C34" s="138"/>
      <c r="D34" s="138"/>
      <c r="E34" s="138"/>
      <c r="F34" s="138"/>
      <c r="G34" s="138"/>
      <c r="H34" s="138"/>
      <c r="I34" s="138"/>
      <c r="J34" s="138"/>
      <c r="K34" s="138"/>
      <c r="L34" s="32"/>
    </row>
    <row r="35" spans="1:12" x14ac:dyDescent="0.2">
      <c r="A35" s="32"/>
      <c r="B35" s="138"/>
      <c r="C35" s="138"/>
      <c r="D35" s="138"/>
      <c r="E35" s="138"/>
      <c r="F35" s="138"/>
      <c r="G35" s="138"/>
      <c r="H35" s="138"/>
      <c r="I35" s="138"/>
      <c r="J35" s="138"/>
      <c r="K35" s="138"/>
      <c r="L35" s="32"/>
    </row>
    <row r="36" spans="1:12" x14ac:dyDescent="0.2">
      <c r="A36" s="32"/>
      <c r="B36" s="138"/>
      <c r="C36" s="138"/>
      <c r="D36" s="138"/>
      <c r="E36" s="138"/>
      <c r="F36" s="138"/>
      <c r="G36" s="138"/>
      <c r="H36" s="138"/>
      <c r="I36" s="138"/>
      <c r="J36" s="138"/>
      <c r="K36" s="138"/>
      <c r="L36" s="32"/>
    </row>
  </sheetData>
  <sheetProtection sheet="1" objects="1" scenarios="1" selectLockedCells="1" selectUnlockedCells="1"/>
  <mergeCells count="2">
    <mergeCell ref="B2:K3"/>
    <mergeCell ref="B5:K36"/>
  </mergeCells>
  <phoneticPr fontId="3"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B2:AJ104"/>
  <sheetViews>
    <sheetView showGridLines="0" tabSelected="1" zoomScale="75" zoomScaleNormal="75" workbookViewId="0"/>
  </sheetViews>
  <sheetFormatPr baseColWidth="10" defaultRowHeight="12.75" x14ac:dyDescent="0.2"/>
  <cols>
    <col min="1" max="1" width="8" style="1" customWidth="1"/>
    <col min="2" max="22" width="16.28515625" style="1" customWidth="1"/>
    <col min="23" max="23" width="12.5703125" style="1" customWidth="1"/>
    <col min="24" max="24" width="14.140625" style="1" customWidth="1"/>
    <col min="25" max="25" width="13.7109375" style="1" customWidth="1"/>
    <col min="26" max="26" width="13" style="1" customWidth="1"/>
    <col min="27" max="27" width="13.28515625" style="1" customWidth="1"/>
    <col min="28" max="28" width="15" style="1" customWidth="1"/>
    <col min="29" max="30" width="11.42578125" style="1"/>
    <col min="31" max="31" width="14.42578125" style="1" customWidth="1"/>
    <col min="32" max="16384" width="11.42578125" style="1"/>
  </cols>
  <sheetData>
    <row r="2" spans="2:14" ht="14.25" x14ac:dyDescent="0.2">
      <c r="B2" s="225" t="s">
        <v>106</v>
      </c>
      <c r="C2" s="226"/>
    </row>
    <row r="3" spans="2:14" ht="21" customHeight="1" x14ac:dyDescent="0.2">
      <c r="B3" s="227" t="s">
        <v>105</v>
      </c>
      <c r="C3" s="227"/>
      <c r="D3" s="227"/>
      <c r="E3" s="77"/>
      <c r="F3" s="77"/>
      <c r="G3" s="77"/>
      <c r="H3" s="77"/>
      <c r="I3" s="77"/>
      <c r="J3" s="77"/>
      <c r="K3" s="77"/>
      <c r="L3" s="2"/>
      <c r="M3" s="2"/>
      <c r="N3" s="2"/>
    </row>
    <row r="4" spans="2:14" ht="14.1" customHeight="1" x14ac:dyDescent="0.2">
      <c r="B4" s="200" t="s">
        <v>102</v>
      </c>
      <c r="C4" s="201"/>
      <c r="J4" s="3"/>
      <c r="K4" s="2"/>
      <c r="L4" s="2"/>
      <c r="M4" s="2"/>
    </row>
    <row r="5" spans="2:14" ht="14.1" customHeight="1" x14ac:dyDescent="0.2">
      <c r="B5" s="4" t="s">
        <v>20</v>
      </c>
      <c r="C5" s="5" t="s">
        <v>21</v>
      </c>
      <c r="J5" s="79"/>
      <c r="K5" s="6"/>
    </row>
    <row r="6" spans="2:14" ht="14.1" customHeight="1" thickBot="1" x14ac:dyDescent="0.25">
      <c r="B6" s="85">
        <v>812</v>
      </c>
      <c r="C6" s="86">
        <v>-50</v>
      </c>
      <c r="J6" s="79"/>
      <c r="K6" s="7"/>
      <c r="L6" s="8"/>
      <c r="M6" s="8"/>
    </row>
    <row r="7" spans="2:14" ht="14.1" customHeight="1" x14ac:dyDescent="0.2">
      <c r="B7" s="204" t="s">
        <v>103</v>
      </c>
      <c r="C7" s="163"/>
      <c r="J7" s="9"/>
      <c r="K7" s="6"/>
      <c r="L7" s="74"/>
      <c r="M7" s="74"/>
    </row>
    <row r="8" spans="2:14" ht="14.1" customHeight="1" x14ac:dyDescent="0.3">
      <c r="B8" s="4" t="s">
        <v>22</v>
      </c>
      <c r="C8" s="5" t="s">
        <v>23</v>
      </c>
      <c r="J8" s="9"/>
      <c r="K8" s="6"/>
      <c r="L8" s="74"/>
      <c r="M8" s="74"/>
    </row>
    <row r="9" spans="2:14" ht="14.1" customHeight="1" thickBot="1" x14ac:dyDescent="0.25">
      <c r="B9" s="85">
        <v>1680</v>
      </c>
      <c r="C9" s="86">
        <v>-93</v>
      </c>
      <c r="J9" s="10"/>
      <c r="K9" s="6"/>
      <c r="L9" s="74"/>
    </row>
    <row r="10" spans="2:14" ht="14.1" customHeight="1" x14ac:dyDescent="0.2">
      <c r="B10" s="204" t="s">
        <v>104</v>
      </c>
      <c r="C10" s="163"/>
      <c r="J10" s="10"/>
      <c r="K10" s="6"/>
      <c r="L10" s="74"/>
    </row>
    <row r="11" spans="2:14" ht="14.1" customHeight="1" x14ac:dyDescent="0.3">
      <c r="B11" s="83" t="s">
        <v>70</v>
      </c>
      <c r="C11" s="84" t="s">
        <v>71</v>
      </c>
      <c r="J11" s="10"/>
      <c r="K11" s="6"/>
      <c r="L11" s="74"/>
    </row>
    <row r="12" spans="2:14" ht="14.1" customHeight="1" thickBot="1" x14ac:dyDescent="0.25">
      <c r="B12" s="85">
        <v>2897</v>
      </c>
      <c r="C12" s="86">
        <v>-1071</v>
      </c>
      <c r="D12" s="11"/>
      <c r="J12" s="10"/>
      <c r="K12" s="6"/>
    </row>
    <row r="13" spans="2:14" ht="14.1" customHeight="1" x14ac:dyDescent="0.2">
      <c r="B13" s="202" t="s">
        <v>35</v>
      </c>
      <c r="C13" s="203"/>
      <c r="D13" s="11"/>
      <c r="J13" s="10"/>
      <c r="K13" s="6"/>
    </row>
    <row r="14" spans="2:14" ht="14.1" customHeight="1" x14ac:dyDescent="0.3">
      <c r="B14" s="14" t="s">
        <v>34</v>
      </c>
      <c r="C14" s="70" t="s">
        <v>65</v>
      </c>
      <c r="D14" s="11"/>
      <c r="J14" s="10"/>
      <c r="K14" s="6"/>
    </row>
    <row r="15" spans="2:14" ht="14.1" customHeight="1" thickBot="1" x14ac:dyDescent="0.25">
      <c r="B15" s="85">
        <v>265.99999999999994</v>
      </c>
      <c r="C15" s="86">
        <v>-204.99999999999997</v>
      </c>
      <c r="D15" s="11"/>
      <c r="K15" s="6"/>
    </row>
    <row r="16" spans="2:14" ht="14.1" customHeight="1" x14ac:dyDescent="0.2">
      <c r="B16" s="205" t="s">
        <v>94</v>
      </c>
      <c r="C16" s="177"/>
      <c r="D16" s="11"/>
      <c r="K16" s="6"/>
    </row>
    <row r="17" spans="2:12" ht="14.1" customHeight="1" thickBot="1" x14ac:dyDescent="0.25">
      <c r="B17" s="158">
        <v>200</v>
      </c>
      <c r="C17" s="159"/>
      <c r="J17" s="13"/>
      <c r="K17" s="13"/>
    </row>
    <row r="18" spans="2:12" s="11" customFormat="1" ht="14.1" customHeight="1" x14ac:dyDescent="0.2">
      <c r="B18" s="162" t="s">
        <v>36</v>
      </c>
      <c r="C18" s="163"/>
      <c r="D18" s="78"/>
      <c r="E18" s="1"/>
      <c r="F18" s="1"/>
      <c r="G18" s="12"/>
      <c r="H18" s="73"/>
      <c r="I18" s="73"/>
      <c r="J18" s="13"/>
      <c r="K18" s="13"/>
    </row>
    <row r="19" spans="2:12" s="11" customFormat="1" ht="14.1" customHeight="1" x14ac:dyDescent="0.2">
      <c r="B19" s="180" t="s">
        <v>37</v>
      </c>
      <c r="C19" s="181"/>
      <c r="D19" s="78"/>
      <c r="E19" s="78"/>
      <c r="G19" s="12"/>
      <c r="H19" s="73"/>
      <c r="I19" s="73"/>
      <c r="J19" s="1"/>
      <c r="K19" s="1"/>
    </row>
    <row r="20" spans="2:12" s="11" customFormat="1" ht="14.1" customHeight="1" thickBot="1" x14ac:dyDescent="0.25">
      <c r="B20" s="178">
        <v>45</v>
      </c>
      <c r="C20" s="179"/>
      <c r="D20" s="78"/>
      <c r="E20" s="78"/>
      <c r="G20" s="1"/>
      <c r="H20" s="1"/>
      <c r="I20" s="1"/>
      <c r="J20" s="1"/>
      <c r="K20" s="1"/>
    </row>
    <row r="21" spans="2:12" ht="14.1" customHeight="1" x14ac:dyDescent="0.2">
      <c r="B21" s="176" t="s">
        <v>75</v>
      </c>
      <c r="C21" s="177"/>
      <c r="D21" s="78"/>
      <c r="E21" s="78"/>
      <c r="F21" s="11"/>
      <c r="J21" s="11"/>
      <c r="K21" s="11"/>
    </row>
    <row r="22" spans="2:12" ht="14.1" customHeight="1" x14ac:dyDescent="0.2">
      <c r="B22" s="206" t="s">
        <v>15</v>
      </c>
      <c r="C22" s="207"/>
      <c r="D22" s="78"/>
      <c r="E22" s="78"/>
      <c r="G22" s="15"/>
      <c r="H22" s="16"/>
      <c r="I22" s="16"/>
      <c r="J22" s="11"/>
      <c r="K22" s="11"/>
    </row>
    <row r="23" spans="2:12" ht="14.1" customHeight="1" x14ac:dyDescent="0.2">
      <c r="B23" s="160">
        <v>2</v>
      </c>
      <c r="C23" s="161"/>
      <c r="D23" s="79"/>
      <c r="E23" s="78"/>
      <c r="G23" s="15"/>
      <c r="H23" s="16"/>
      <c r="I23" s="16"/>
      <c r="J23" s="11"/>
      <c r="K23" s="11"/>
    </row>
    <row r="24" spans="2:12" ht="14.1" customHeight="1" x14ac:dyDescent="0.2">
      <c r="B24" s="93" t="s">
        <v>74</v>
      </c>
      <c r="C24" s="94" t="s">
        <v>33</v>
      </c>
      <c r="D24" s="75"/>
      <c r="E24" s="79"/>
      <c r="G24" s="15"/>
      <c r="H24" s="16"/>
      <c r="I24" s="16"/>
      <c r="J24" s="11"/>
      <c r="K24" s="11"/>
    </row>
    <row r="25" spans="2:12" ht="14.1" customHeight="1" x14ac:dyDescent="0.2">
      <c r="B25" s="14" t="s">
        <v>18</v>
      </c>
      <c r="C25" s="17" t="s">
        <v>17</v>
      </c>
      <c r="D25" s="71"/>
      <c r="E25" s="76"/>
      <c r="G25" s="15"/>
      <c r="H25" s="16"/>
      <c r="I25" s="16"/>
      <c r="J25" s="11"/>
      <c r="K25" s="11"/>
    </row>
    <row r="26" spans="2:12" ht="14.1" customHeight="1" x14ac:dyDescent="0.2">
      <c r="B26" s="87">
        <v>4600</v>
      </c>
      <c r="C26" s="88">
        <v>820</v>
      </c>
      <c r="E26" s="13"/>
      <c r="G26" s="15"/>
      <c r="H26" s="16"/>
      <c r="I26" s="16"/>
      <c r="J26" s="11"/>
      <c r="K26" s="11"/>
    </row>
    <row r="27" spans="2:12" ht="14.1" customHeight="1" x14ac:dyDescent="0.2">
      <c r="B27" s="14" t="s">
        <v>1</v>
      </c>
      <c r="C27" s="17" t="s">
        <v>0</v>
      </c>
      <c r="G27" s="15"/>
      <c r="H27" s="16"/>
      <c r="I27" s="16"/>
      <c r="J27" s="11"/>
      <c r="K27" s="11"/>
    </row>
    <row r="28" spans="2:12" ht="14.1" customHeight="1" x14ac:dyDescent="0.2">
      <c r="B28" s="87">
        <v>5980</v>
      </c>
      <c r="C28" s="88">
        <v>520</v>
      </c>
      <c r="G28" s="15"/>
      <c r="H28" s="16"/>
      <c r="I28" s="16"/>
    </row>
    <row r="29" spans="2:12" ht="14.1" customHeight="1" x14ac:dyDescent="0.2">
      <c r="B29" s="184" t="s">
        <v>4</v>
      </c>
      <c r="C29" s="185"/>
      <c r="G29" s="18"/>
      <c r="H29" s="74"/>
    </row>
    <row r="30" spans="2:12" ht="14.1" customHeight="1" x14ac:dyDescent="0.2">
      <c r="B30" s="186">
        <v>0.1</v>
      </c>
      <c r="C30" s="187"/>
      <c r="G30" s="18"/>
      <c r="H30" s="74"/>
    </row>
    <row r="31" spans="2:12" ht="14.1" customHeight="1" x14ac:dyDescent="0.2">
      <c r="B31" s="164" t="s">
        <v>2</v>
      </c>
      <c r="C31" s="165"/>
      <c r="G31" s="19"/>
    </row>
    <row r="32" spans="2:12" s="35" customFormat="1" ht="14.1" customHeight="1" x14ac:dyDescent="0.2">
      <c r="B32" s="166"/>
      <c r="C32" s="167"/>
      <c r="D32" s="36"/>
      <c r="E32" s="1"/>
      <c r="F32" s="1"/>
      <c r="G32" s="19"/>
      <c r="H32" s="1"/>
      <c r="I32" s="1"/>
      <c r="L32" s="51"/>
    </row>
    <row r="33" spans="2:23" s="35" customFormat="1" ht="14.1" customHeight="1" thickBot="1" x14ac:dyDescent="0.25">
      <c r="B33" s="168" t="str">
        <f>IF(Alerte4="","La précourse sera de "&amp;CHAR(10)&amp;Précourse&amp;" mm","")</f>
        <v>La précourse sera de 
0,6 mm</v>
      </c>
      <c r="C33" s="169"/>
      <c r="E33" s="1"/>
      <c r="F33" s="1"/>
      <c r="G33" s="19"/>
      <c r="H33" s="74"/>
      <c r="I33" s="1"/>
    </row>
    <row r="34" spans="2:23" s="35" customFormat="1" ht="14.1" customHeight="1" x14ac:dyDescent="0.2">
      <c r="B34" s="170"/>
      <c r="C34" s="171"/>
      <c r="D34" s="37"/>
      <c r="E34" s="153" t="s">
        <v>84</v>
      </c>
      <c r="F34" s="105" t="str">
        <f>"     Lr AB à Lo  &gt;  " &amp; ROUND(ABmaxi+GardesAvAr,0) &amp; " mm"</f>
        <v xml:space="preserve">     Lr AB à Lo  &gt;  819 mm</v>
      </c>
      <c r="G34" s="72"/>
      <c r="J34" s="156" t="s">
        <v>95</v>
      </c>
      <c r="K34" s="157"/>
      <c r="L34" s="157"/>
    </row>
    <row r="35" spans="2:23" s="35" customFormat="1" ht="14.1" customHeight="1" x14ac:dyDescent="0.2">
      <c r="B35" s="182" t="str">
        <f>IF(Lb+GardesAvAr&gt;ABmini,"Impossible :"&amp;CHAR(10)&amp;"(Lb + garde AR)" &amp;CHAR(10)&amp; "est &gt; AB mini",IF(Lo-GardesAvAr&lt;ABmaxi,"Impossible :"&amp;CHAR(10)&amp;"(Lo - garde AV)" &amp;CHAR(10)&amp; "est &lt; AB maxi",""))</f>
        <v/>
      </c>
      <c r="C35" s="183"/>
      <c r="D35" s="37"/>
      <c r="E35" s="154"/>
      <c r="F35" s="103"/>
      <c r="G35" s="104"/>
      <c r="J35" s="157"/>
      <c r="K35" s="157"/>
      <c r="L35" s="157"/>
    </row>
    <row r="36" spans="2:23" s="35" customFormat="1" ht="14.1" customHeight="1" thickBot="1" x14ac:dyDescent="0.25">
      <c r="B36" s="182"/>
      <c r="C36" s="183"/>
      <c r="D36" s="38"/>
      <c r="E36" s="155"/>
      <c r="F36" s="106" t="str">
        <f>"     Lr AB à Lb  &lt;  " &amp; ROUND(ABmini-GardesAvAr,0) &amp; " mm"</f>
        <v xml:space="preserve">     Lr AB à Lb  &lt;  567 mm</v>
      </c>
      <c r="G36" s="102"/>
      <c r="J36" s="51" t="s">
        <v>100</v>
      </c>
      <c r="M36" s="98" t="s">
        <v>101</v>
      </c>
      <c r="N36" s="55"/>
    </row>
    <row r="37" spans="2:23" s="35" customFormat="1" ht="14.1" customHeight="1" x14ac:dyDescent="0.2">
      <c r="B37" s="182"/>
      <c r="C37" s="183"/>
      <c r="D37" s="38"/>
      <c r="K37" s="39"/>
    </row>
    <row r="38" spans="2:23" s="35" customFormat="1" ht="14.1" customHeight="1" x14ac:dyDescent="0.2">
      <c r="B38" s="172" t="str">
        <f>IF(OR(MasseCapot&lt;0,OC&lt;0,NbRess&lt;1,Fo&lt;0,Fb&lt;0,Lo&lt;0,Lb&lt;0,GardesAvAr&lt;=0),"Erreur de signe dans vos données","")</f>
        <v/>
      </c>
      <c r="C38" s="173"/>
      <c r="D38" s="38"/>
      <c r="J38" s="191" t="s">
        <v>64</v>
      </c>
      <c r="K38" s="192"/>
      <c r="L38" s="192"/>
    </row>
    <row r="39" spans="2:23" s="35" customFormat="1" ht="14.1" customHeight="1" thickBot="1" x14ac:dyDescent="0.25">
      <c r="B39" s="174"/>
      <c r="C39" s="175"/>
      <c r="D39" s="38"/>
      <c r="J39" s="192"/>
      <c r="K39" s="192"/>
      <c r="L39" s="192"/>
    </row>
    <row r="40" spans="2:23" ht="14.1" customHeight="1" x14ac:dyDescent="0.2">
      <c r="B40" s="172" t="str">
        <f>IF(SIGN(Fo-Fb)=SIGN(Lo-Lb),"Incohérence dans la relation entre Fo, Lo, Fb et Lb","")</f>
        <v/>
      </c>
      <c r="C40" s="173"/>
      <c r="D40" s="20"/>
      <c r="E40" s="188" t="s">
        <v>13</v>
      </c>
      <c r="F40" s="189"/>
      <c r="G40" s="189"/>
      <c r="H40" s="189"/>
      <c r="I40" s="190"/>
      <c r="J40" s="100" t="s">
        <v>83</v>
      </c>
      <c r="K40" s="55"/>
      <c r="M40" s="99" t="s">
        <v>82</v>
      </c>
    </row>
    <row r="41" spans="2:23" ht="14.1" customHeight="1" x14ac:dyDescent="0.2">
      <c r="B41" s="174"/>
      <c r="C41" s="175"/>
      <c r="D41" s="20"/>
      <c r="E41" s="193" t="s">
        <v>24</v>
      </c>
      <c r="F41" s="194"/>
      <c r="G41" s="56">
        <f>SQRT(XAo^2+YAo^2)</f>
        <v>813.53795240295949</v>
      </c>
      <c r="H41" s="57" t="s">
        <v>30</v>
      </c>
      <c r="I41" s="58"/>
      <c r="J41" s="55"/>
      <c r="L41" s="45"/>
    </row>
    <row r="42" spans="2:23" ht="14.1" customHeight="1" x14ac:dyDescent="0.2">
      <c r="D42" s="20"/>
      <c r="E42" s="195" t="s">
        <v>25</v>
      </c>
      <c r="F42" s="196"/>
      <c r="G42" s="59">
        <f>SQRT(XGo^2+YGo^2)</f>
        <v>1682.5721381266242</v>
      </c>
      <c r="H42" s="60" t="s">
        <v>30</v>
      </c>
      <c r="I42" s="61"/>
      <c r="J42" s="55"/>
      <c r="L42" s="45"/>
    </row>
    <row r="43" spans="2:23" ht="16.5" customHeight="1" x14ac:dyDescent="0.2">
      <c r="B43" s="46" t="s">
        <v>40</v>
      </c>
      <c r="C43" s="101">
        <v>180</v>
      </c>
      <c r="D43" s="20"/>
      <c r="E43" s="145" t="s">
        <v>26</v>
      </c>
      <c r="F43" s="146"/>
      <c r="G43" s="62">
        <f>SQRT((YAo-YB)^2+(XAo-XB)^2)</f>
        <v>567.5746646917919</v>
      </c>
      <c r="H43" s="60" t="s">
        <v>30</v>
      </c>
      <c r="I43" s="64"/>
      <c r="J43" s="54"/>
      <c r="K43" s="55"/>
      <c r="M43" s="45"/>
    </row>
    <row r="44" spans="2:23" ht="16.5" customHeight="1" x14ac:dyDescent="0.2">
      <c r="B44" s="52" t="s">
        <v>62</v>
      </c>
      <c r="C44" s="53">
        <f>Rotation-180</f>
        <v>0</v>
      </c>
      <c r="D44" s="20"/>
      <c r="E44" s="145" t="s">
        <v>27</v>
      </c>
      <c r="F44" s="146"/>
      <c r="G44" s="59">
        <f>MIN(AB)</f>
        <v>567.5746646917919</v>
      </c>
      <c r="H44" s="60" t="s">
        <v>30</v>
      </c>
      <c r="I44" s="64"/>
      <c r="J44" s="54"/>
      <c r="K44" s="54"/>
      <c r="L44" s="54"/>
      <c r="O44" s="133"/>
      <c r="P44" s="133"/>
      <c r="Q44" s="133"/>
      <c r="U44" s="74"/>
      <c r="V44" s="74"/>
      <c r="W44" s="74"/>
    </row>
    <row r="45" spans="2:23" ht="14.1" customHeight="1" x14ac:dyDescent="0.2">
      <c r="B45" s="52" t="s">
        <v>41</v>
      </c>
      <c r="C45" s="53">
        <f>RADIANS(C44)</f>
        <v>0</v>
      </c>
      <c r="D45" s="20"/>
      <c r="E45" s="145" t="s">
        <v>28</v>
      </c>
      <c r="F45" s="146"/>
      <c r="G45" s="59">
        <f>MAX(AB)</f>
        <v>819.311567375104</v>
      </c>
      <c r="H45" s="60" t="s">
        <v>30</v>
      </c>
      <c r="I45" s="64"/>
      <c r="J45" s="54"/>
      <c r="K45" s="54"/>
      <c r="L45" s="54"/>
      <c r="O45" s="45"/>
      <c r="U45" s="74"/>
      <c r="V45" s="74"/>
      <c r="W45" s="74"/>
    </row>
    <row r="46" spans="2:23" ht="14.1" customHeight="1" x14ac:dyDescent="0.2">
      <c r="B46" s="47" t="s">
        <v>42</v>
      </c>
      <c r="C46" s="48">
        <f>XAo*COS(RotationAetB)-YAo*SIN(RotationAetB)</f>
        <v>812</v>
      </c>
      <c r="D46" s="20"/>
      <c r="E46" s="145" t="s">
        <v>29</v>
      </c>
      <c r="F46" s="146"/>
      <c r="G46" s="65">
        <f>ABmaxi-ABmini</f>
        <v>251.73690268331211</v>
      </c>
      <c r="H46" s="60" t="s">
        <v>30</v>
      </c>
      <c r="I46" s="64"/>
      <c r="J46" s="54"/>
      <c r="K46" s="54"/>
      <c r="L46" s="54"/>
      <c r="O46" s="134"/>
      <c r="P46" s="220" t="s">
        <v>85</v>
      </c>
      <c r="Q46" s="220"/>
      <c r="R46" s="220"/>
      <c r="U46" s="74"/>
      <c r="V46" s="108" t="s">
        <v>92</v>
      </c>
      <c r="W46" s="74"/>
    </row>
    <row r="47" spans="2:23" ht="14.1" customHeight="1" x14ac:dyDescent="0.2">
      <c r="B47" s="47" t="s">
        <v>63</v>
      </c>
      <c r="C47" s="48">
        <f>XAo*SIN(RotationAetB)+YAo*COS(RotationAetB)</f>
        <v>-50</v>
      </c>
      <c r="D47" s="20"/>
      <c r="E47" s="145" t="s">
        <v>38</v>
      </c>
      <c r="F47" s="146"/>
      <c r="G47" s="66">
        <f>ROUND((Lo-GardesAvAr)-ABmaxi,1)</f>
        <v>0.6</v>
      </c>
      <c r="H47" s="60" t="s">
        <v>39</v>
      </c>
      <c r="I47" s="63"/>
      <c r="J47" s="54"/>
      <c r="K47" s="197" t="s">
        <v>87</v>
      </c>
      <c r="L47" s="198"/>
      <c r="M47" s="199"/>
      <c r="P47" s="221" t="s">
        <v>86</v>
      </c>
      <c r="Q47" s="221"/>
      <c r="R47" s="221"/>
      <c r="V47" s="74" t="s">
        <v>93</v>
      </c>
    </row>
    <row r="48" spans="2:23" ht="14.1" customHeight="1" x14ac:dyDescent="0.2">
      <c r="B48" s="47" t="s">
        <v>43</v>
      </c>
      <c r="C48" s="48">
        <f>XB*COS(RotationAetB)-YB*SIN(RotationAetB)</f>
        <v>265.99999999999994</v>
      </c>
      <c r="D48" s="20"/>
      <c r="E48" s="149" t="s">
        <v>76</v>
      </c>
      <c r="F48" s="146"/>
      <c r="G48" s="59">
        <f>SQRT(Xco^2+YCo^2)</f>
        <v>3088.6323834344548</v>
      </c>
      <c r="H48" s="60" t="s">
        <v>30</v>
      </c>
      <c r="I48" s="64"/>
      <c r="J48" s="54"/>
      <c r="K48" s="110" t="s">
        <v>88</v>
      </c>
      <c r="L48" s="111" t="s">
        <v>89</v>
      </c>
      <c r="M48" s="112" t="s">
        <v>90</v>
      </c>
      <c r="O48" s="135"/>
      <c r="P48" s="222" t="s">
        <v>19</v>
      </c>
      <c r="Q48" s="222"/>
      <c r="R48" s="222"/>
    </row>
    <row r="49" spans="2:36" ht="14.1" customHeight="1" thickBot="1" x14ac:dyDescent="0.25">
      <c r="B49" s="49" t="s">
        <v>44</v>
      </c>
      <c r="C49" s="50">
        <f>XB*SIN(RotationAetB)+YB*COS(RotationAetB)</f>
        <v>-204.99999999999997</v>
      </c>
      <c r="D49" s="20"/>
      <c r="E49" s="150" t="s">
        <v>3</v>
      </c>
      <c r="F49" s="151"/>
      <c r="G49" s="67">
        <f>(Fb-Fo)/(Lo-Lb)</f>
        <v>4.5999999999999996</v>
      </c>
      <c r="H49" s="68" t="s">
        <v>31</v>
      </c>
      <c r="I49" s="69"/>
      <c r="J49" s="54"/>
      <c r="K49" s="113">
        <v>1</v>
      </c>
      <c r="L49" s="114">
        <v>0</v>
      </c>
      <c r="M49" s="115">
        <v>1</v>
      </c>
    </row>
    <row r="50" spans="2:36" ht="14.1" customHeight="1" x14ac:dyDescent="0.2">
      <c r="B50" s="38"/>
      <c r="C50" s="38"/>
      <c r="D50" s="20"/>
      <c r="E50" s="130"/>
      <c r="F50" s="130"/>
      <c r="G50" s="66"/>
      <c r="H50" s="131"/>
      <c r="I50" s="132"/>
      <c r="J50" s="54"/>
      <c r="K50" s="54"/>
      <c r="L50" s="54"/>
      <c r="M50" s="55"/>
    </row>
    <row r="51" spans="2:36" ht="14.1" customHeight="1" thickBot="1" x14ac:dyDescent="0.25">
      <c r="D51" s="20"/>
      <c r="J51" s="54"/>
      <c r="K51" s="54"/>
      <c r="L51" s="54"/>
      <c r="M51" s="55"/>
    </row>
    <row r="52" spans="2:36" ht="14.1" customHeight="1" x14ac:dyDescent="0.2">
      <c r="B52" s="208" t="s">
        <v>14</v>
      </c>
      <c r="C52" s="152" t="s">
        <v>14</v>
      </c>
      <c r="D52" s="152" t="s">
        <v>6</v>
      </c>
      <c r="E52" s="152" t="s">
        <v>7</v>
      </c>
      <c r="F52" s="152" t="s">
        <v>8</v>
      </c>
      <c r="G52" s="152" t="s">
        <v>9</v>
      </c>
      <c r="H52" s="147" t="s">
        <v>72</v>
      </c>
      <c r="I52" s="147" t="s">
        <v>73</v>
      </c>
      <c r="J52" s="152" t="s">
        <v>5</v>
      </c>
      <c r="K52" s="218" t="s">
        <v>91</v>
      </c>
      <c r="L52" s="219"/>
      <c r="M52" s="152" t="s">
        <v>32</v>
      </c>
      <c r="N52" s="147" t="s">
        <v>77</v>
      </c>
      <c r="O52" s="139" t="s">
        <v>66</v>
      </c>
      <c r="P52" s="139" t="s">
        <v>67</v>
      </c>
      <c r="Q52" s="223" t="s">
        <v>78</v>
      </c>
      <c r="R52" s="139" t="s">
        <v>68</v>
      </c>
      <c r="S52" s="139" t="s">
        <v>69</v>
      </c>
      <c r="T52" s="141" t="s">
        <v>79</v>
      </c>
      <c r="U52" s="141" t="s">
        <v>80</v>
      </c>
      <c r="V52" s="143" t="s">
        <v>81</v>
      </c>
      <c r="W52" s="125"/>
      <c r="X52" s="82"/>
      <c r="Y52" s="82"/>
      <c r="Z52" s="82"/>
      <c r="AA52" s="82"/>
      <c r="AB52" s="82"/>
      <c r="AC52" s="82"/>
      <c r="AD52" s="82"/>
    </row>
    <row r="53" spans="2:36" ht="14.1" customHeight="1" x14ac:dyDescent="0.2">
      <c r="B53" s="209"/>
      <c r="C53" s="148"/>
      <c r="D53" s="148"/>
      <c r="E53" s="148"/>
      <c r="F53" s="148"/>
      <c r="G53" s="148"/>
      <c r="H53" s="148"/>
      <c r="I53" s="148"/>
      <c r="J53" s="148"/>
      <c r="K53" s="129" t="s">
        <v>88</v>
      </c>
      <c r="L53" s="129" t="s">
        <v>89</v>
      </c>
      <c r="M53" s="148"/>
      <c r="N53" s="148"/>
      <c r="O53" s="140"/>
      <c r="P53" s="140"/>
      <c r="Q53" s="224"/>
      <c r="R53" s="140"/>
      <c r="S53" s="140"/>
      <c r="T53" s="142"/>
      <c r="U53" s="142"/>
      <c r="V53" s="144"/>
      <c r="W53" s="125"/>
      <c r="X53" s="82"/>
      <c r="Y53" s="82"/>
      <c r="Z53" s="37"/>
      <c r="AA53" s="37"/>
      <c r="AB53" s="37"/>
      <c r="AC53" s="74"/>
      <c r="AD53" s="74"/>
      <c r="AE53" s="37"/>
      <c r="AF53" s="74"/>
    </row>
    <row r="54" spans="2:36" ht="14.1" customHeight="1" x14ac:dyDescent="0.2">
      <c r="B54" s="24" t="s">
        <v>10</v>
      </c>
      <c r="C54" s="81" t="s">
        <v>11</v>
      </c>
      <c r="D54" s="81" t="s">
        <v>12</v>
      </c>
      <c r="E54" s="81" t="s">
        <v>12</v>
      </c>
      <c r="F54" s="81" t="s">
        <v>12</v>
      </c>
      <c r="G54" s="81" t="s">
        <v>12</v>
      </c>
      <c r="H54" s="81" t="s">
        <v>12</v>
      </c>
      <c r="I54" s="81" t="s">
        <v>12</v>
      </c>
      <c r="J54" s="81" t="s">
        <v>12</v>
      </c>
      <c r="K54" s="107" t="s">
        <v>12</v>
      </c>
      <c r="L54" s="107" t="s">
        <v>12</v>
      </c>
      <c r="M54" s="81" t="s">
        <v>12</v>
      </c>
      <c r="N54" s="81" t="s">
        <v>16</v>
      </c>
      <c r="O54" s="81" t="s">
        <v>16</v>
      </c>
      <c r="P54" s="81" t="s">
        <v>16</v>
      </c>
      <c r="Q54" s="90" t="s">
        <v>16</v>
      </c>
      <c r="R54" s="81" t="s">
        <v>16</v>
      </c>
      <c r="S54" s="81" t="s">
        <v>16</v>
      </c>
      <c r="T54" s="80" t="s">
        <v>16</v>
      </c>
      <c r="U54" s="80" t="s">
        <v>16</v>
      </c>
      <c r="V54" s="109" t="s">
        <v>16</v>
      </c>
      <c r="W54" s="128"/>
      <c r="X54" s="121"/>
      <c r="Y54" s="121"/>
      <c r="Z54" s="121"/>
      <c r="AA54" s="121"/>
      <c r="AB54" s="121"/>
      <c r="AC54" s="121"/>
      <c r="AD54" s="121"/>
      <c r="AE54" s="121"/>
      <c r="AF54" s="121"/>
      <c r="AG54" s="121"/>
    </row>
    <row r="55" spans="2:36" ht="14.1" customHeight="1" x14ac:dyDescent="0.2">
      <c r="B55" s="25">
        <v>0</v>
      </c>
      <c r="C55" s="21">
        <f t="shared" ref="C55:C73" si="0">RADIANS(AlphaDegrés)</f>
        <v>0</v>
      </c>
      <c r="D55" s="22">
        <f>XAo*COS(Alpha)-YAo*SIN(Alpha)</f>
        <v>812</v>
      </c>
      <c r="E55" s="22">
        <f t="shared" ref="E55:E73" si="1">XAo*SIN(Alpha)+YAo*COS(Alpha)</f>
        <v>-50</v>
      </c>
      <c r="F55" s="22">
        <f t="shared" ref="F55:F73" si="2">XGo*COS(Alpha)-YGo*SIN(Alpha)</f>
        <v>1680</v>
      </c>
      <c r="G55" s="22">
        <f t="shared" ref="G55:G73" si="3">XGo*SIN(Alpha)+YGo*COS(Alpha)</f>
        <v>-93</v>
      </c>
      <c r="H55" s="22">
        <f t="shared" ref="H55:H73" si="4">Xco*COS(Alpha)-YCo*SIN(Alpha)</f>
        <v>2897</v>
      </c>
      <c r="I55" s="22">
        <f t="shared" ref="I55:I73" si="5">Xco*SIN(Alpha)+YCo*COS(Alpha)</f>
        <v>-1071</v>
      </c>
      <c r="J55" s="33">
        <f t="shared" ref="J55:J73" si="6">SQRT((XA-XB)^2+(YA-YB)^2)</f>
        <v>567.5746646917919</v>
      </c>
      <c r="K55" s="117">
        <f t="shared" ref="K55:K73" si="7">XA-XB</f>
        <v>546</v>
      </c>
      <c r="L55" s="117">
        <f t="shared" ref="L55:L73" si="8">YA-YB</f>
        <v>154.99999999999997</v>
      </c>
      <c r="M55" s="23">
        <f t="shared" ref="M55:M73" si="9">Lo-AB</f>
        <v>252.4253353082081</v>
      </c>
      <c r="N55" s="23">
        <f t="shared" ref="N55:N73" si="10">(Fo+Course*K)*NbRess</f>
        <v>11522.313084835514</v>
      </c>
      <c r="O55" s="23">
        <f t="shared" ref="O55:O73" si="11">Fressort*(xOx*xBA+yOx*yBA)/AB/ModOx</f>
        <v>11084.326584126989</v>
      </c>
      <c r="P55" s="23">
        <f t="shared" ref="P55:P73" si="12">Fressort*(xOx*yBA-yOx*xBA)/AB/ModOx</f>
        <v>3146.6494881679178</v>
      </c>
      <c r="Q55" s="91">
        <f t="shared" ref="Q55:Q73" si="13">(YA*Frx-XA*Fry-XG*-MasseCapot*9.81)/(Xc*COS(Alpha)+Yc*SIN(Alpha))</f>
        <v>64.502687746393377</v>
      </c>
      <c r="R55" s="23">
        <f t="shared" ref="R55:R73" si="14">-Fm*SIN(Alpha)</f>
        <v>0</v>
      </c>
      <c r="S55" s="23">
        <f t="shared" ref="S55:S73" si="15">Fm*COS(Alpha)</f>
        <v>64.502687746393377</v>
      </c>
      <c r="T55" s="89">
        <f t="shared" ref="T55:T73" si="16">-Frx-Fmx</f>
        <v>-11084.326584126989</v>
      </c>
      <c r="U55" s="89">
        <f t="shared" ref="U55:U73" si="17">-Fry+MasseCapot*9.81-Fmy</f>
        <v>-1249.1521759143111</v>
      </c>
      <c r="V55" s="95">
        <f t="shared" ref="V55:V73" si="18">SQRT(Rox^2+Roy^2)</f>
        <v>11154.491336774427</v>
      </c>
      <c r="W55" s="126"/>
      <c r="X55" s="116"/>
      <c r="Y55" s="120"/>
      <c r="Z55" s="120"/>
      <c r="AA55" s="120"/>
      <c r="AB55" s="122"/>
      <c r="AC55" s="123"/>
      <c r="AD55" s="123"/>
      <c r="AE55" s="124"/>
      <c r="AF55" s="123"/>
      <c r="AG55" s="123"/>
      <c r="AH55" s="123"/>
    </row>
    <row r="56" spans="2:36" ht="14.1" customHeight="1" x14ac:dyDescent="0.2">
      <c r="B56" s="26">
        <f t="shared" ref="B56:B73" si="19">B55+AlphaMaxDegrés/18</f>
        <v>2.5</v>
      </c>
      <c r="C56" s="21">
        <f t="shared" si="0"/>
        <v>4.3633231299858237E-2</v>
      </c>
      <c r="D56" s="22">
        <f t="shared" ref="D56:D73" si="20">XAo*COS(Alpha)-YAo*SIN(Alpha)</f>
        <v>813.40812529273535</v>
      </c>
      <c r="E56" s="22">
        <f>XAo*SIN(Alpha)+YAo*COS(Alpha)</f>
        <v>-14.533468538440061</v>
      </c>
      <c r="F56" s="22">
        <f t="shared" si="2"/>
        <v>1682.4576152824975</v>
      </c>
      <c r="G56" s="22">
        <f t="shared" si="3"/>
        <v>-19.630913833348288</v>
      </c>
      <c r="H56" s="22">
        <f t="shared" si="4"/>
        <v>2940.9590617909171</v>
      </c>
      <c r="I56" s="22">
        <f t="shared" si="5"/>
        <v>-943.61528011679138</v>
      </c>
      <c r="J56" s="34">
        <f t="shared" si="6"/>
        <v>579.5974078992283</v>
      </c>
      <c r="K56" s="118">
        <f t="shared" si="7"/>
        <v>547.40812529273535</v>
      </c>
      <c r="L56" s="118">
        <f t="shared" si="8"/>
        <v>190.4665314615599</v>
      </c>
      <c r="M56" s="23">
        <f t="shared" si="9"/>
        <v>240.4025921007717</v>
      </c>
      <c r="N56" s="23">
        <f t="shared" si="10"/>
        <v>11411.703847327099</v>
      </c>
      <c r="O56" s="23">
        <f t="shared" si="11"/>
        <v>10777.928479879145</v>
      </c>
      <c r="P56" s="23">
        <f t="shared" si="12"/>
        <v>3750.0989829216678</v>
      </c>
      <c r="Q56" s="91">
        <f t="shared" si="13"/>
        <v>32.440515482178888</v>
      </c>
      <c r="R56" s="23">
        <f t="shared" si="14"/>
        <v>-1.4150354111483407</v>
      </c>
      <c r="S56" s="23">
        <f t="shared" si="15"/>
        <v>32.409639299669543</v>
      </c>
      <c r="T56" s="89">
        <f t="shared" si="16"/>
        <v>-10776.513444467997</v>
      </c>
      <c r="U56" s="89">
        <f t="shared" si="17"/>
        <v>-1820.5086222213374</v>
      </c>
      <c r="V56" s="95">
        <f t="shared" si="18"/>
        <v>10929.20370669253</v>
      </c>
      <c r="W56" s="126"/>
      <c r="X56" s="116"/>
      <c r="Y56" s="127"/>
      <c r="Z56" s="120"/>
      <c r="AA56" s="120"/>
      <c r="AB56" s="120"/>
      <c r="AC56" s="120"/>
      <c r="AD56" s="122"/>
      <c r="AE56" s="123"/>
      <c r="AF56" s="123"/>
      <c r="AG56" s="124"/>
      <c r="AH56" s="123"/>
      <c r="AI56" s="123"/>
      <c r="AJ56" s="124"/>
    </row>
    <row r="57" spans="2:36" ht="14.1" customHeight="1" x14ac:dyDescent="0.2">
      <c r="B57" s="26">
        <f t="shared" si="19"/>
        <v>5</v>
      </c>
      <c r="C57" s="21">
        <f t="shared" si="0"/>
        <v>8.7266462599716474E-2</v>
      </c>
      <c r="D57" s="22">
        <f t="shared" si="20"/>
        <v>813.26788198788029</v>
      </c>
      <c r="E57" s="22">
        <f t="shared" si="1"/>
        <v>20.960728206511156</v>
      </c>
      <c r="F57" s="22">
        <f t="shared" si="2"/>
        <v>1681.7125768696646</v>
      </c>
      <c r="G57" s="22">
        <f t="shared" si="3"/>
        <v>53.775540893533389</v>
      </c>
      <c r="H57" s="22">
        <f t="shared" si="4"/>
        <v>2979.3198408545286</v>
      </c>
      <c r="I57" s="22">
        <f t="shared" si="5"/>
        <v>-814.43433491629378</v>
      </c>
      <c r="J57" s="34">
        <f t="shared" si="6"/>
        <v>592.08140094679322</v>
      </c>
      <c r="K57" s="118">
        <f t="shared" si="7"/>
        <v>547.2678819878804</v>
      </c>
      <c r="L57" s="118">
        <f t="shared" si="8"/>
        <v>225.96072820651113</v>
      </c>
      <c r="M57" s="23">
        <f t="shared" si="9"/>
        <v>227.91859905320678</v>
      </c>
      <c r="N57" s="23">
        <f t="shared" si="10"/>
        <v>11296.851111289503</v>
      </c>
      <c r="O57" s="23">
        <f t="shared" si="11"/>
        <v>10441.813863636995</v>
      </c>
      <c r="P57" s="23">
        <f t="shared" si="12"/>
        <v>4311.3070254623681</v>
      </c>
      <c r="Q57" s="91">
        <f t="shared" si="13"/>
        <v>4.1907369691782437</v>
      </c>
      <c r="R57" s="23">
        <f t="shared" si="14"/>
        <v>-0.36524679320879966</v>
      </c>
      <c r="S57" s="23">
        <f t="shared" si="15"/>
        <v>4.1747899497924372</v>
      </c>
      <c r="T57" s="89">
        <f t="shared" si="16"/>
        <v>-10441.448616843787</v>
      </c>
      <c r="U57" s="89">
        <f t="shared" si="17"/>
        <v>-2353.4818154121604</v>
      </c>
      <c r="V57" s="95">
        <f t="shared" si="18"/>
        <v>10703.397865802464</v>
      </c>
      <c r="W57" s="126"/>
      <c r="X57" s="116"/>
      <c r="Y57" s="127"/>
      <c r="Z57" s="120"/>
      <c r="AA57" s="120"/>
      <c r="AB57" s="120"/>
      <c r="AC57" s="120"/>
      <c r="AD57" s="122"/>
      <c r="AE57" s="123"/>
      <c r="AF57" s="123"/>
      <c r="AG57" s="124"/>
      <c r="AH57" s="123"/>
      <c r="AI57" s="123"/>
      <c r="AJ57" s="124"/>
    </row>
    <row r="58" spans="2:36" ht="14.1" customHeight="1" x14ac:dyDescent="0.2">
      <c r="B58" s="26">
        <f t="shared" si="19"/>
        <v>7.5</v>
      </c>
      <c r="C58" s="21">
        <f t="shared" si="0"/>
        <v>0.1308996938995747</v>
      </c>
      <c r="D58" s="22">
        <f t="shared" si="20"/>
        <v>811.57953704653664</v>
      </c>
      <c r="E58" s="22">
        <f t="shared" si="1"/>
        <v>56.415025013991361</v>
      </c>
      <c r="F58" s="22">
        <f t="shared" si="2"/>
        <v>1677.7663029844662</v>
      </c>
      <c r="G58" s="22">
        <f t="shared" si="3"/>
        <v>127.07963082192227</v>
      </c>
      <c r="H58" s="22">
        <f t="shared" si="4"/>
        <v>3012.0093152676041</v>
      </c>
      <c r="I58" s="22">
        <f t="shared" si="5"/>
        <v>-683.70306766986153</v>
      </c>
      <c r="J58" s="34">
        <f t="shared" si="6"/>
        <v>604.97507927763354</v>
      </c>
      <c r="K58" s="118">
        <f t="shared" si="7"/>
        <v>545.57953704653664</v>
      </c>
      <c r="L58" s="118">
        <f t="shared" si="8"/>
        <v>261.41502501399134</v>
      </c>
      <c r="M58" s="23">
        <f t="shared" si="9"/>
        <v>215.02492072236646</v>
      </c>
      <c r="N58" s="23">
        <f t="shared" si="10"/>
        <v>11178.229270645772</v>
      </c>
      <c r="O58" s="23">
        <f t="shared" si="11"/>
        <v>10080.767554526336</v>
      </c>
      <c r="P58" s="23">
        <f t="shared" si="12"/>
        <v>4830.2106722927774</v>
      </c>
      <c r="Q58" s="91">
        <f t="shared" si="13"/>
        <v>-20.578495358044108</v>
      </c>
      <c r="R58" s="23">
        <f t="shared" si="14"/>
        <v>2.6860326407035044</v>
      </c>
      <c r="S58" s="23">
        <f t="shared" si="15"/>
        <v>-20.402443477537641</v>
      </c>
      <c r="T58" s="89">
        <f t="shared" si="16"/>
        <v>-10083.45358716704</v>
      </c>
      <c r="U58" s="89">
        <f t="shared" si="17"/>
        <v>-2847.80822881524</v>
      </c>
      <c r="V58" s="95">
        <f t="shared" si="18"/>
        <v>10477.883753538194</v>
      </c>
      <c r="W58" s="126"/>
      <c r="X58" s="116"/>
      <c r="Y58" s="127"/>
      <c r="Z58" s="120"/>
      <c r="AA58" s="120"/>
      <c r="AB58" s="120"/>
      <c r="AC58" s="120"/>
      <c r="AD58" s="122"/>
      <c r="AE58" s="123"/>
      <c r="AF58" s="123"/>
      <c r="AG58" s="124"/>
      <c r="AH58" s="123"/>
      <c r="AI58" s="123"/>
      <c r="AJ58" s="124"/>
    </row>
    <row r="59" spans="2:36" ht="14.1" customHeight="1" x14ac:dyDescent="0.2">
      <c r="B59" s="26">
        <f t="shared" si="19"/>
        <v>10</v>
      </c>
      <c r="C59" s="21">
        <f t="shared" si="0"/>
        <v>0.17453292519943295</v>
      </c>
      <c r="D59" s="22">
        <f t="shared" si="20"/>
        <v>808.3463043292594</v>
      </c>
      <c r="E59" s="22">
        <f t="shared" si="1"/>
        <v>91.761932614937038</v>
      </c>
      <c r="F59" s="22">
        <f t="shared" si="2"/>
        <v>1670.6263055835341</v>
      </c>
      <c r="G59" s="22">
        <f t="shared" si="3"/>
        <v>200.1418174503076</v>
      </c>
      <c r="H59" s="22">
        <f t="shared" si="4"/>
        <v>3038.9652587576488</v>
      </c>
      <c r="I59" s="22">
        <f t="shared" si="5"/>
        <v>-551.67033277497774</v>
      </c>
      <c r="J59" s="34">
        <f t="shared" si="6"/>
        <v>618.22905016584116</v>
      </c>
      <c r="K59" s="118">
        <f t="shared" si="7"/>
        <v>542.34630432925951</v>
      </c>
      <c r="L59" s="118">
        <f t="shared" si="8"/>
        <v>296.761932614937</v>
      </c>
      <c r="M59" s="23">
        <f t="shared" si="9"/>
        <v>201.77094983415884</v>
      </c>
      <c r="N59" s="23">
        <f t="shared" si="10"/>
        <v>11056.292738474262</v>
      </c>
      <c r="O59" s="23">
        <f t="shared" si="11"/>
        <v>9699.219900270642</v>
      </c>
      <c r="P59" s="23">
        <f t="shared" si="12"/>
        <v>5307.2349151919634</v>
      </c>
      <c r="Q59" s="91">
        <f t="shared" si="13"/>
        <v>-42.214620449309415</v>
      </c>
      <c r="R59" s="23">
        <f t="shared" si="14"/>
        <v>7.330491911923712</v>
      </c>
      <c r="S59" s="23">
        <f t="shared" si="15"/>
        <v>-41.573285508947613</v>
      </c>
      <c r="T59" s="89">
        <f t="shared" si="16"/>
        <v>-9706.5503921825657</v>
      </c>
      <c r="U59" s="89">
        <f t="shared" si="17"/>
        <v>-3303.6616296830157</v>
      </c>
      <c r="V59" s="95">
        <f t="shared" si="18"/>
        <v>10253.355581438662</v>
      </c>
      <c r="W59" s="126"/>
      <c r="X59" s="116"/>
      <c r="Y59" s="127"/>
      <c r="Z59" s="120"/>
      <c r="AA59" s="120"/>
      <c r="AB59" s="120"/>
      <c r="AC59" s="120"/>
      <c r="AD59" s="122"/>
      <c r="AE59" s="123"/>
      <c r="AF59" s="123"/>
      <c r="AG59" s="124"/>
      <c r="AH59" s="123"/>
      <c r="AI59" s="123"/>
      <c r="AJ59" s="124"/>
    </row>
    <row r="60" spans="2:36" ht="14.1" customHeight="1" x14ac:dyDescent="0.2">
      <c r="B60" s="26">
        <f t="shared" si="19"/>
        <v>12.5</v>
      </c>
      <c r="C60" s="21">
        <f t="shared" si="0"/>
        <v>0.21816615649929119</v>
      </c>
      <c r="D60" s="22">
        <f t="shared" si="20"/>
        <v>803.574338478291</v>
      </c>
      <c r="E60" s="22">
        <f t="shared" si="1"/>
        <v>126.93416616174288</v>
      </c>
      <c r="F60" s="22">
        <f t="shared" si="2"/>
        <v>1660.3061760577316</v>
      </c>
      <c r="G60" s="22">
        <f t="shared" si="3"/>
        <v>272.82302275385905</v>
      </c>
      <c r="H60" s="22">
        <f t="shared" si="4"/>
        <v>3060.1363591541553</v>
      </c>
      <c r="I60" s="22">
        <f t="shared" si="5"/>
        <v>-418.5874620467647</v>
      </c>
      <c r="J60" s="34">
        <f t="shared" si="6"/>
        <v>631.79621719021372</v>
      </c>
      <c r="K60" s="118">
        <f t="shared" si="7"/>
        <v>537.57433847829111</v>
      </c>
      <c r="L60" s="118">
        <f t="shared" si="8"/>
        <v>331.93416616174284</v>
      </c>
      <c r="M60" s="23">
        <f t="shared" si="9"/>
        <v>188.20378280978628</v>
      </c>
      <c r="N60" s="23">
        <f t="shared" si="10"/>
        <v>10931.474801850034</v>
      </c>
      <c r="O60" s="23">
        <f t="shared" si="11"/>
        <v>9301.227477003742</v>
      </c>
      <c r="P60" s="23">
        <f t="shared" si="12"/>
        <v>5743.1967374026854</v>
      </c>
      <c r="Q60" s="91">
        <f t="shared" si="13"/>
        <v>-61.07050310997942</v>
      </c>
      <c r="R60" s="23">
        <f t="shared" si="14"/>
        <v>13.218076116129657</v>
      </c>
      <c r="S60" s="23">
        <f t="shared" si="15"/>
        <v>-59.622888339078379</v>
      </c>
      <c r="T60" s="89">
        <f t="shared" si="16"/>
        <v>-9314.445553119871</v>
      </c>
      <c r="U60" s="89">
        <f t="shared" si="17"/>
        <v>-3721.5738490636068</v>
      </c>
      <c r="V60" s="95">
        <f t="shared" si="18"/>
        <v>10030.404173116289</v>
      </c>
      <c r="W60" s="126"/>
      <c r="X60" s="116"/>
      <c r="Y60" s="127"/>
      <c r="Z60" s="120"/>
      <c r="AA60" s="120"/>
      <c r="AB60" s="120"/>
      <c r="AC60" s="120"/>
      <c r="AD60" s="122"/>
      <c r="AE60" s="123"/>
      <c r="AF60" s="123"/>
      <c r="AG60" s="124"/>
      <c r="AH60" s="123"/>
      <c r="AI60" s="123"/>
      <c r="AJ60" s="124"/>
    </row>
    <row r="61" spans="2:36" ht="14.1" customHeight="1" x14ac:dyDescent="0.2">
      <c r="B61" s="26">
        <f t="shared" si="19"/>
        <v>15</v>
      </c>
      <c r="C61" s="21">
        <f t="shared" si="0"/>
        <v>0.26179938779914941</v>
      </c>
      <c r="D61" s="22">
        <f t="shared" si="20"/>
        <v>797.27272320184954</v>
      </c>
      <c r="E61" s="22">
        <f t="shared" si="1"/>
        <v>161.86477330879342</v>
      </c>
      <c r="F61" s="22">
        <f t="shared" si="2"/>
        <v>1646.8255593601691</v>
      </c>
      <c r="G61" s="22">
        <f t="shared" si="3"/>
        <v>344.98489392735149</v>
      </c>
      <c r="H61" s="22">
        <f t="shared" si="4"/>
        <v>3075.4823160642309</v>
      </c>
      <c r="I61" s="22">
        <f t="shared" si="5"/>
        <v>-284.70778629358961</v>
      </c>
      <c r="J61" s="34">
        <f t="shared" si="6"/>
        <v>645.63183650840938</v>
      </c>
      <c r="K61" s="118">
        <f t="shared" si="7"/>
        <v>531.27272320184966</v>
      </c>
      <c r="L61" s="118">
        <f t="shared" si="8"/>
        <v>366.86477330879336</v>
      </c>
      <c r="M61" s="23">
        <f t="shared" si="9"/>
        <v>174.36816349159062</v>
      </c>
      <c r="N61" s="23">
        <f t="shared" si="10"/>
        <v>10804.187104122633</v>
      </c>
      <c r="O61" s="23">
        <f t="shared" si="11"/>
        <v>8890.4691191057373</v>
      </c>
      <c r="P61" s="23">
        <f t="shared" si="12"/>
        <v>6139.2196428468897</v>
      </c>
      <c r="Q61" s="91">
        <f t="shared" si="13"/>
        <v>-77.49632273016779</v>
      </c>
      <c r="R61" s="23">
        <f t="shared" si="14"/>
        <v>20.057524247978801</v>
      </c>
      <c r="S61" s="23">
        <f t="shared" si="15"/>
        <v>-74.855699567501631</v>
      </c>
      <c r="T61" s="89">
        <f t="shared" si="16"/>
        <v>-8910.5266433537163</v>
      </c>
      <c r="U61" s="89">
        <f t="shared" si="17"/>
        <v>-4102.363943279388</v>
      </c>
      <c r="V61" s="95">
        <f t="shared" si="18"/>
        <v>9809.5298044827432</v>
      </c>
      <c r="W61" s="126"/>
      <c r="X61" s="116"/>
      <c r="Y61" s="127"/>
      <c r="Z61" s="120"/>
      <c r="AA61" s="120"/>
      <c r="AB61" s="120"/>
      <c r="AC61" s="120"/>
      <c r="AD61" s="122"/>
      <c r="AE61" s="123"/>
      <c r="AF61" s="123"/>
      <c r="AG61" s="124"/>
      <c r="AH61" s="123"/>
      <c r="AI61" s="123"/>
      <c r="AJ61" s="124"/>
    </row>
    <row r="62" spans="2:36" ht="14.1" customHeight="1" x14ac:dyDescent="0.2">
      <c r="B62" s="26">
        <f t="shared" si="19"/>
        <v>17.5</v>
      </c>
      <c r="C62" s="21">
        <f t="shared" si="0"/>
        <v>0.30543261909900765</v>
      </c>
      <c r="D62" s="22">
        <f t="shared" si="20"/>
        <v>789.45345398277391</v>
      </c>
      <c r="E62" s="22">
        <f t="shared" si="1"/>
        <v>196.48726166005844</v>
      </c>
      <c r="F62" s="22">
        <f t="shared" si="2"/>
        <v>1630.2101166109187</v>
      </c>
      <c r="G62" s="22">
        <f t="shared" si="3"/>
        <v>416.49006674759374</v>
      </c>
      <c r="H62" s="22">
        <f t="shared" si="4"/>
        <v>3084.9739175866903</v>
      </c>
      <c r="I62" s="22">
        <f t="shared" si="5"/>
        <v>-150.28615308747192</v>
      </c>
      <c r="J62" s="34">
        <f t="shared" si="6"/>
        <v>659.69351956934383</v>
      </c>
      <c r="K62" s="118">
        <f t="shared" si="7"/>
        <v>523.45345398277391</v>
      </c>
      <c r="L62" s="118">
        <f t="shared" si="8"/>
        <v>401.48726166005838</v>
      </c>
      <c r="M62" s="23">
        <f t="shared" si="9"/>
        <v>160.30648043065617</v>
      </c>
      <c r="N62" s="23">
        <f t="shared" si="10"/>
        <v>10674.819619962036</v>
      </c>
      <c r="O62" s="23">
        <f t="shared" si="11"/>
        <v>8470.253284222008</v>
      </c>
      <c r="P62" s="23">
        <f t="shared" si="12"/>
        <v>6496.6593892440378</v>
      </c>
      <c r="Q62" s="91">
        <f t="shared" si="13"/>
        <v>-91.833300660615066</v>
      </c>
      <c r="R62" s="23">
        <f t="shared" si="14"/>
        <v>27.614806096266545</v>
      </c>
      <c r="S62" s="23">
        <f t="shared" si="15"/>
        <v>-87.582975483186928</v>
      </c>
      <c r="T62" s="89">
        <f t="shared" si="16"/>
        <v>-8497.868090318274</v>
      </c>
      <c r="U62" s="89">
        <f t="shared" si="17"/>
        <v>-4447.0764137608512</v>
      </c>
      <c r="V62" s="95">
        <f t="shared" si="18"/>
        <v>9591.154816302238</v>
      </c>
      <c r="W62" s="126"/>
      <c r="X62" s="116"/>
      <c r="Y62" s="127"/>
      <c r="Z62" s="120"/>
      <c r="AA62" s="120"/>
      <c r="AB62" s="120"/>
      <c r="AC62" s="120"/>
      <c r="AD62" s="122"/>
      <c r="AE62" s="123"/>
      <c r="AF62" s="123"/>
      <c r="AG62" s="124"/>
      <c r="AH62" s="123"/>
      <c r="AI62" s="123"/>
      <c r="AJ62" s="124"/>
    </row>
    <row r="63" spans="2:36" ht="14.1" customHeight="1" x14ac:dyDescent="0.2">
      <c r="B63" s="26">
        <f t="shared" si="19"/>
        <v>20</v>
      </c>
      <c r="C63" s="21">
        <f t="shared" si="0"/>
        <v>0.3490658503988659</v>
      </c>
      <c r="D63" s="22">
        <f t="shared" si="20"/>
        <v>780.13141524444109</v>
      </c>
      <c r="E63" s="22">
        <f t="shared" si="1"/>
        <v>230.73572534114754</v>
      </c>
      <c r="F63" s="22">
        <f t="shared" si="2"/>
        <v>1610.4914762496132</v>
      </c>
      <c r="G63" s="22">
        <f t="shared" si="3"/>
        <v>487.20242705403393</v>
      </c>
      <c r="H63" s="22">
        <f t="shared" si="4"/>
        <v>3088.593095918568</v>
      </c>
      <c r="I63" s="22">
        <f t="shared" si="5"/>
        <v>-15.578441647245654</v>
      </c>
      <c r="J63" s="34">
        <f t="shared" si="6"/>
        <v>673.94119512003999</v>
      </c>
      <c r="K63" s="118">
        <f t="shared" si="7"/>
        <v>514.13141524444109</v>
      </c>
      <c r="L63" s="118">
        <f t="shared" si="8"/>
        <v>435.73572534114749</v>
      </c>
      <c r="M63" s="23">
        <f t="shared" si="9"/>
        <v>146.05880487996001</v>
      </c>
      <c r="N63" s="23">
        <f t="shared" si="10"/>
        <v>10543.741004895632</v>
      </c>
      <c r="O63" s="23">
        <f t="shared" si="11"/>
        <v>8043.5333588003787</v>
      </c>
      <c r="P63" s="23">
        <f t="shared" si="12"/>
        <v>6817.0408157926595</v>
      </c>
      <c r="Q63" s="91">
        <f t="shared" si="13"/>
        <v>-104.40901593137166</v>
      </c>
      <c r="R63" s="23">
        <f t="shared" si="14"/>
        <v>35.709986593339764</v>
      </c>
      <c r="S63" s="23">
        <f t="shared" si="15"/>
        <v>-98.1123818142283</v>
      </c>
      <c r="T63" s="89">
        <f t="shared" si="16"/>
        <v>-8079.2433453937183</v>
      </c>
      <c r="U63" s="89">
        <f t="shared" si="17"/>
        <v>-4756.9284339784308</v>
      </c>
      <c r="V63" s="95">
        <f t="shared" si="18"/>
        <v>9375.6355069979745</v>
      </c>
      <c r="W63" s="126"/>
      <c r="X63" s="116"/>
      <c r="Y63" s="127"/>
      <c r="Z63" s="120"/>
      <c r="AA63" s="120"/>
      <c r="AB63" s="120"/>
      <c r="AC63" s="120"/>
      <c r="AD63" s="122"/>
      <c r="AE63" s="123"/>
      <c r="AF63" s="123"/>
      <c r="AG63" s="124"/>
      <c r="AH63" s="123"/>
      <c r="AI63" s="123"/>
      <c r="AJ63" s="124"/>
    </row>
    <row r="64" spans="2:36" ht="14.1" customHeight="1" x14ac:dyDescent="0.2">
      <c r="B64" s="26">
        <f t="shared" si="19"/>
        <v>22.5</v>
      </c>
      <c r="C64" s="21">
        <f t="shared" si="0"/>
        <v>0.39269908169872414</v>
      </c>
      <c r="D64" s="22">
        <f t="shared" si="20"/>
        <v>769.32435201741941</v>
      </c>
      <c r="E64" s="22">
        <f t="shared" si="1"/>
        <v>264.54497045488858</v>
      </c>
      <c r="F64" s="22">
        <f t="shared" si="2"/>
        <v>1587.7071738289151</v>
      </c>
      <c r="G64" s="22">
        <f t="shared" si="3"/>
        <v>556.9873698498011</v>
      </c>
      <c r="H64" s="22">
        <f t="shared" si="4"/>
        <v>3086.3329617482086</v>
      </c>
      <c r="I64" s="22">
        <f t="shared" si="5"/>
        <v>119.15892424207709</v>
      </c>
      <c r="J64" s="34">
        <f t="shared" si="6"/>
        <v>688.33704143627006</v>
      </c>
      <c r="K64" s="118">
        <f t="shared" si="7"/>
        <v>503.32435201741947</v>
      </c>
      <c r="L64" s="118">
        <f t="shared" si="8"/>
        <v>469.54497045488858</v>
      </c>
      <c r="M64" s="23">
        <f t="shared" si="9"/>
        <v>131.66295856372994</v>
      </c>
      <c r="N64" s="23">
        <f t="shared" si="10"/>
        <v>10411.299218786315</v>
      </c>
      <c r="O64" s="23">
        <f t="shared" si="11"/>
        <v>7612.9281405819256</v>
      </c>
      <c r="P64" s="23">
        <f t="shared" si="12"/>
        <v>7102.0051076746176</v>
      </c>
      <c r="Q64" s="91">
        <f t="shared" si="13"/>
        <v>-115.5340532994171</v>
      </c>
      <c r="R64" s="23">
        <f t="shared" si="14"/>
        <v>44.212968071672158</v>
      </c>
      <c r="S64" s="23">
        <f t="shared" si="15"/>
        <v>-106.73954715139955</v>
      </c>
      <c r="T64" s="89">
        <f t="shared" si="16"/>
        <v>-7657.1411086535982</v>
      </c>
      <c r="U64" s="89">
        <f t="shared" si="17"/>
        <v>-5033.2655605232185</v>
      </c>
      <c r="V64" s="95">
        <f t="shared" si="18"/>
        <v>9163.2730048046669</v>
      </c>
      <c r="W64" s="126"/>
      <c r="X64" s="116"/>
      <c r="Y64" s="127"/>
      <c r="Z64" s="120"/>
      <c r="AA64" s="120"/>
      <c r="AB64" s="120"/>
      <c r="AC64" s="120"/>
      <c r="AD64" s="122"/>
      <c r="AE64" s="123"/>
      <c r="AF64" s="123"/>
      <c r="AG64" s="124"/>
      <c r="AH64" s="123"/>
      <c r="AI64" s="123"/>
      <c r="AJ64" s="124"/>
    </row>
    <row r="65" spans="2:36" ht="14.1" customHeight="1" x14ac:dyDescent="0.2">
      <c r="B65" s="26">
        <f t="shared" si="19"/>
        <v>25</v>
      </c>
      <c r="C65" s="21">
        <f t="shared" si="0"/>
        <v>0.43633231299858238</v>
      </c>
      <c r="D65" s="22">
        <f t="shared" si="20"/>
        <v>757.05283616079475</v>
      </c>
      <c r="E65" s="22">
        <f t="shared" si="1"/>
        <v>297.85063918161546</v>
      </c>
      <c r="F65" s="22">
        <f t="shared" si="2"/>
        <v>1561.9005805634567</v>
      </c>
      <c r="G65" s="22">
        <f t="shared" si="3"/>
        <v>625.71205552996662</v>
      </c>
      <c r="H65" s="22">
        <f t="shared" si="4"/>
        <v>3078.1978173694638</v>
      </c>
      <c r="I65" s="22">
        <f t="shared" si="5"/>
        <v>253.66946434655415</v>
      </c>
      <c r="J65" s="34">
        <f t="shared" si="6"/>
        <v>702.84539781300384</v>
      </c>
      <c r="K65" s="118">
        <f t="shared" si="7"/>
        <v>491.05283616079481</v>
      </c>
      <c r="L65" s="118">
        <f t="shared" si="8"/>
        <v>502.85063918161541</v>
      </c>
      <c r="M65" s="23">
        <f t="shared" si="9"/>
        <v>117.15460218699616</v>
      </c>
      <c r="N65" s="23">
        <f t="shared" si="10"/>
        <v>10277.822340120365</v>
      </c>
      <c r="O65" s="23">
        <f t="shared" si="11"/>
        <v>7180.7453322980336</v>
      </c>
      <c r="P65" s="23">
        <f t="shared" si="12"/>
        <v>7353.2665209250536</v>
      </c>
      <c r="Q65" s="91">
        <f t="shared" si="13"/>
        <v>-125.49974063571229</v>
      </c>
      <c r="R65" s="23">
        <f t="shared" si="14"/>
        <v>53.038482236373348</v>
      </c>
      <c r="S65" s="23">
        <f t="shared" si="15"/>
        <v>-113.74139220922594</v>
      </c>
      <c r="T65" s="89">
        <f t="shared" si="16"/>
        <v>-7233.7838145344067</v>
      </c>
      <c r="U65" s="89">
        <f t="shared" si="17"/>
        <v>-5277.525128715828</v>
      </c>
      <c r="V65" s="95">
        <f t="shared" si="18"/>
        <v>8954.3229648950546</v>
      </c>
      <c r="W65" s="126"/>
      <c r="X65" s="116"/>
      <c r="Y65" s="127"/>
      <c r="Z65" s="120"/>
      <c r="AA65" s="120"/>
      <c r="AB65" s="120"/>
      <c r="AC65" s="120"/>
      <c r="AD65" s="122"/>
      <c r="AE65" s="123"/>
      <c r="AF65" s="123"/>
      <c r="AG65" s="124"/>
      <c r="AH65" s="123"/>
      <c r="AI65" s="123"/>
      <c r="AJ65" s="124"/>
    </row>
    <row r="66" spans="2:36" ht="14.1" customHeight="1" x14ac:dyDescent="0.2">
      <c r="B66" s="26">
        <f t="shared" si="19"/>
        <v>27.5</v>
      </c>
      <c r="C66" s="21">
        <f t="shared" si="0"/>
        <v>0.47996554429844063</v>
      </c>
      <c r="D66" s="22">
        <f t="shared" si="20"/>
        <v>743.34022720246776</v>
      </c>
      <c r="E66" s="22">
        <f t="shared" si="1"/>
        <v>330.58933228793643</v>
      </c>
      <c r="F66" s="22">
        <f t="shared" si="2"/>
        <v>1533.1208207702707</v>
      </c>
      <c r="G66" s="22">
        <f t="shared" si="3"/>
        <v>693.24566274928236</v>
      </c>
      <c r="H66" s="22">
        <f t="shared" si="4"/>
        <v>3064.2031484920294</v>
      </c>
      <c r="I66" s="22">
        <f t="shared" si="5"/>
        <v>387.69713020801782</v>
      </c>
      <c r="J66" s="34">
        <f t="shared" si="6"/>
        <v>717.43266260070789</v>
      </c>
      <c r="K66" s="118">
        <f t="shared" si="7"/>
        <v>477.34022720246782</v>
      </c>
      <c r="L66" s="118">
        <f t="shared" si="8"/>
        <v>535.58933228793637</v>
      </c>
      <c r="M66" s="23">
        <f t="shared" si="9"/>
        <v>102.56733739929211</v>
      </c>
      <c r="N66" s="23">
        <f t="shared" si="10"/>
        <v>10143.619504073487</v>
      </c>
      <c r="O66" s="23">
        <f t="shared" si="11"/>
        <v>6749.0064101314101</v>
      </c>
      <c r="P66" s="23">
        <f t="shared" si="12"/>
        <v>7572.5774422864242</v>
      </c>
      <c r="Q66" s="91">
        <f t="shared" si="13"/>
        <v>-134.57675642866951</v>
      </c>
      <c r="R66" s="23">
        <f t="shared" si="14"/>
        <v>62.140630654607079</v>
      </c>
      <c r="S66" s="23">
        <f t="shared" si="15"/>
        <v>-119.37104084621674</v>
      </c>
      <c r="T66" s="89">
        <f t="shared" si="16"/>
        <v>-6811.147040786017</v>
      </c>
      <c r="U66" s="89">
        <f t="shared" si="17"/>
        <v>-5491.2064014402076</v>
      </c>
      <c r="V66" s="95">
        <f t="shared" si="18"/>
        <v>8749.0040435712472</v>
      </c>
      <c r="W66" s="126"/>
      <c r="X66" s="116"/>
      <c r="Y66" s="127"/>
      <c r="Z66" s="120"/>
      <c r="AA66" s="120"/>
      <c r="AB66" s="120"/>
      <c r="AC66" s="120"/>
      <c r="AD66" s="122"/>
      <c r="AE66" s="123"/>
      <c r="AF66" s="123"/>
      <c r="AG66" s="124"/>
      <c r="AH66" s="123"/>
      <c r="AI66" s="123"/>
      <c r="AJ66" s="124"/>
    </row>
    <row r="67" spans="2:36" ht="14.1" customHeight="1" x14ac:dyDescent="0.2">
      <c r="B67" s="26">
        <f t="shared" si="19"/>
        <v>30</v>
      </c>
      <c r="C67" s="21">
        <f t="shared" si="0"/>
        <v>0.52359877559829882</v>
      </c>
      <c r="D67" s="22">
        <f t="shared" si="20"/>
        <v>728.21262787296428</v>
      </c>
      <c r="E67" s="22">
        <f t="shared" si="1"/>
        <v>362.69872981077799</v>
      </c>
      <c r="F67" s="22">
        <f t="shared" si="2"/>
        <v>1501.422678357857</v>
      </c>
      <c r="G67" s="22">
        <f t="shared" si="3"/>
        <v>759.45963744804703</v>
      </c>
      <c r="H67" s="22">
        <f t="shared" si="4"/>
        <v>3044.3755947635191</v>
      </c>
      <c r="I67" s="22">
        <f t="shared" si="5"/>
        <v>520.9867925468659</v>
      </c>
      <c r="J67" s="34">
        <f t="shared" si="6"/>
        <v>732.067183524847</v>
      </c>
      <c r="K67" s="118">
        <f t="shared" si="7"/>
        <v>462.21262787296433</v>
      </c>
      <c r="L67" s="118">
        <f t="shared" si="8"/>
        <v>567.69872981077799</v>
      </c>
      <c r="M67" s="23">
        <f t="shared" si="9"/>
        <v>87.932816475153004</v>
      </c>
      <c r="N67" s="23">
        <f t="shared" si="10"/>
        <v>10008.981911571407</v>
      </c>
      <c r="O67" s="23">
        <f t="shared" si="11"/>
        <v>6319.4716766365837</v>
      </c>
      <c r="P67" s="23">
        <f t="shared" si="12"/>
        <v>7761.7006277201681</v>
      </c>
      <c r="Q67" s="91">
        <f t="shared" si="13"/>
        <v>-143.01441689539109</v>
      </c>
      <c r="R67" s="23">
        <f t="shared" si="14"/>
        <v>71.507208447695533</v>
      </c>
      <c r="S67" s="23">
        <f t="shared" si="15"/>
        <v>-123.85411813882712</v>
      </c>
      <c r="T67" s="89">
        <f t="shared" si="16"/>
        <v>-6390.9788850842788</v>
      </c>
      <c r="U67" s="89">
        <f t="shared" si="17"/>
        <v>-5675.8465095813408</v>
      </c>
      <c r="V67" s="95">
        <f t="shared" si="18"/>
        <v>8547.5051746062018</v>
      </c>
      <c r="W67" s="126"/>
      <c r="X67" s="116"/>
      <c r="Y67" s="127"/>
      <c r="Z67" s="120"/>
      <c r="AA67" s="120"/>
      <c r="AB67" s="120"/>
      <c r="AC67" s="120"/>
      <c r="AD67" s="122"/>
      <c r="AE67" s="123"/>
      <c r="AF67" s="123"/>
      <c r="AG67" s="124"/>
      <c r="AH67" s="123"/>
      <c r="AI67" s="123"/>
      <c r="AJ67" s="124"/>
    </row>
    <row r="68" spans="2:36" ht="14.1" customHeight="1" x14ac:dyDescent="0.2">
      <c r="B68" s="26">
        <f t="shared" si="19"/>
        <v>32.5</v>
      </c>
      <c r="C68" s="21">
        <f t="shared" si="0"/>
        <v>0.56723200689815712</v>
      </c>
      <c r="D68" s="22">
        <f t="shared" si="20"/>
        <v>711.69883441740433</v>
      </c>
      <c r="E68" s="22">
        <f t="shared" si="1"/>
        <v>394.1177096869767</v>
      </c>
      <c r="F68" s="22">
        <f t="shared" si="2"/>
        <v>1466.8664925419025</v>
      </c>
      <c r="G68" s="22">
        <f t="shared" si="3"/>
        <v>824.22793756206568</v>
      </c>
      <c r="H68" s="22">
        <f t="shared" si="4"/>
        <v>3018.7528990593783</v>
      </c>
      <c r="I68" s="22">
        <f t="shared" si="5"/>
        <v>653.28472691514821</v>
      </c>
      <c r="J68" s="34">
        <f t="shared" si="6"/>
        <v>746.71914470006811</v>
      </c>
      <c r="K68" s="118">
        <f t="shared" si="7"/>
        <v>445.69883441740438</v>
      </c>
      <c r="L68" s="118">
        <f t="shared" si="8"/>
        <v>599.1177096869767</v>
      </c>
      <c r="M68" s="23">
        <f t="shared" si="9"/>
        <v>73.280855299931886</v>
      </c>
      <c r="N68" s="23">
        <f t="shared" si="10"/>
        <v>9874.1838687593736</v>
      </c>
      <c r="O68" s="23">
        <f t="shared" si="11"/>
        <v>5893.664669461351</v>
      </c>
      <c r="P68" s="23">
        <f t="shared" si="12"/>
        <v>7922.3875087003207</v>
      </c>
      <c r="Q68" s="91">
        <f t="shared" si="13"/>
        <v>-151.0404819422329</v>
      </c>
      <c r="R68" s="23">
        <f t="shared" si="14"/>
        <v>81.153991792077264</v>
      </c>
      <c r="S68" s="23">
        <f t="shared" si="15"/>
        <v>-127.38625044153487</v>
      </c>
      <c r="T68" s="89">
        <f t="shared" si="16"/>
        <v>-5974.8186612534282</v>
      </c>
      <c r="U68" s="89">
        <f t="shared" si="17"/>
        <v>-5833.001258258786</v>
      </c>
      <c r="V68" s="95">
        <f t="shared" si="18"/>
        <v>8349.9917193797737</v>
      </c>
      <c r="W68" s="126"/>
      <c r="X68" s="116"/>
      <c r="Y68" s="127"/>
      <c r="Z68" s="120"/>
      <c r="AA68" s="120"/>
      <c r="AB68" s="120"/>
      <c r="AC68" s="120"/>
      <c r="AD68" s="122"/>
      <c r="AE68" s="123"/>
      <c r="AF68" s="123"/>
      <c r="AG68" s="124"/>
      <c r="AH68" s="123"/>
      <c r="AI68" s="123"/>
      <c r="AJ68" s="124"/>
    </row>
    <row r="69" spans="2:36" ht="14.1" customHeight="1" x14ac:dyDescent="0.2">
      <c r="B69" s="26">
        <f t="shared" si="19"/>
        <v>35</v>
      </c>
      <c r="C69" s="21">
        <f t="shared" si="0"/>
        <v>0.6108652381980153</v>
      </c>
      <c r="D69" s="22">
        <f t="shared" si="20"/>
        <v>693.83028178021357</v>
      </c>
      <c r="E69" s="22">
        <f t="shared" si="1"/>
        <v>424.78646410259978</v>
      </c>
      <c r="F69" s="22">
        <f t="shared" si="2"/>
        <v>1429.5180429861534</v>
      </c>
      <c r="G69" s="22">
        <f t="shared" si="3"/>
        <v>887.42727295088116</v>
      </c>
      <c r="H69" s="22">
        <f t="shared" si="4"/>
        <v>2987.3838356371798</v>
      </c>
      <c r="I69" s="22">
        <f t="shared" si="5"/>
        <v>784.33909667547016</v>
      </c>
      <c r="J69" s="34">
        <f t="shared" si="6"/>
        <v>761.36045364531003</v>
      </c>
      <c r="K69" s="118">
        <f t="shared" si="7"/>
        <v>427.83028178021362</v>
      </c>
      <c r="L69" s="118">
        <f t="shared" si="8"/>
        <v>629.78646410259978</v>
      </c>
      <c r="M69" s="23">
        <f t="shared" si="9"/>
        <v>58.639546354689969</v>
      </c>
      <c r="N69" s="23">
        <f t="shared" si="10"/>
        <v>9739.4838264631471</v>
      </c>
      <c r="O69" s="23">
        <f t="shared" si="11"/>
        <v>5472.8953807873277</v>
      </c>
      <c r="P69" s="23">
        <f t="shared" si="12"/>
        <v>8056.3615458154518</v>
      </c>
      <c r="Q69" s="91">
        <f t="shared" si="13"/>
        <v>-158.86134756971995</v>
      </c>
      <c r="R69" s="23">
        <f t="shared" si="14"/>
        <v>91.119125612964879</v>
      </c>
      <c r="S69" s="23">
        <f t="shared" si="15"/>
        <v>-130.13159762024017</v>
      </c>
      <c r="T69" s="89">
        <f t="shared" si="16"/>
        <v>-5564.0145064002927</v>
      </c>
      <c r="U69" s="89">
        <f t="shared" si="17"/>
        <v>-5964.2299481952114</v>
      </c>
      <c r="V69" s="95">
        <f t="shared" si="18"/>
        <v>8156.6105891100096</v>
      </c>
      <c r="W69" s="126"/>
      <c r="X69" s="116"/>
      <c r="Y69" s="127"/>
      <c r="Z69" s="120"/>
      <c r="AA69" s="120"/>
      <c r="AB69" s="120"/>
      <c r="AC69" s="120"/>
      <c r="AD69" s="122"/>
      <c r="AE69" s="123"/>
      <c r="AF69" s="123"/>
      <c r="AG69" s="124"/>
      <c r="AH69" s="123"/>
      <c r="AI69" s="123"/>
      <c r="AJ69" s="124"/>
    </row>
    <row r="70" spans="2:36" ht="14.1" customHeight="1" x14ac:dyDescent="0.2">
      <c r="B70" s="26">
        <f t="shared" si="19"/>
        <v>37.5</v>
      </c>
      <c r="C70" s="21">
        <f t="shared" si="0"/>
        <v>0.6544984694978736</v>
      </c>
      <c r="D70" s="22">
        <f t="shared" si="20"/>
        <v>674.64098376691902</v>
      </c>
      <c r="E70" s="22">
        <f t="shared" si="1"/>
        <v>454.64661334051942</v>
      </c>
      <c r="F70" s="22">
        <f t="shared" si="2"/>
        <v>1389.4484245870863</v>
      </c>
      <c r="G70" s="22">
        <f t="shared" si="3"/>
        <v>948.93734008756587</v>
      </c>
      <c r="H70" s="22">
        <f t="shared" si="4"/>
        <v>2950.3281172920483</v>
      </c>
      <c r="I70" s="22">
        <f t="shared" si="5"/>
        <v>913.90043238635076</v>
      </c>
      <c r="J70" s="34">
        <f t="shared" si="6"/>
        <v>775.96463070529967</v>
      </c>
      <c r="K70" s="118">
        <f t="shared" si="7"/>
        <v>408.64098376691908</v>
      </c>
      <c r="L70" s="118">
        <f t="shared" si="8"/>
        <v>659.64661334051937</v>
      </c>
      <c r="M70" s="23">
        <f t="shared" si="9"/>
        <v>44.035369294700331</v>
      </c>
      <c r="N70" s="23">
        <f t="shared" si="10"/>
        <v>9605.1253975112431</v>
      </c>
      <c r="O70" s="23">
        <f t="shared" si="11"/>
        <v>5058.2819581299855</v>
      </c>
      <c r="P70" s="23">
        <f t="shared" si="12"/>
        <v>8165.3057220150795</v>
      </c>
      <c r="Q70" s="91">
        <f t="shared" si="13"/>
        <v>-166.66251792640463</v>
      </c>
      <c r="R70" s="23">
        <f t="shared" si="14"/>
        <v>101.45771257506961</v>
      </c>
      <c r="S70" s="23">
        <f t="shared" si="15"/>
        <v>-132.22226529826096</v>
      </c>
      <c r="T70" s="89">
        <f t="shared" si="16"/>
        <v>-5159.7396707050548</v>
      </c>
      <c r="U70" s="89">
        <f t="shared" si="17"/>
        <v>-6071.0834567168185</v>
      </c>
      <c r="V70" s="95">
        <f t="shared" si="18"/>
        <v>7967.4944498172163</v>
      </c>
      <c r="W70" s="126"/>
      <c r="X70" s="116"/>
      <c r="Y70" s="127"/>
      <c r="Z70" s="120"/>
      <c r="AA70" s="120"/>
      <c r="AB70" s="120"/>
      <c r="AC70" s="120"/>
      <c r="AD70" s="122"/>
      <c r="AE70" s="123"/>
      <c r="AF70" s="123"/>
      <c r="AG70" s="124"/>
      <c r="AH70" s="123"/>
      <c r="AI70" s="123"/>
      <c r="AJ70" s="124"/>
    </row>
    <row r="71" spans="2:36" ht="14.1" customHeight="1" x14ac:dyDescent="0.2">
      <c r="B71" s="26">
        <f t="shared" si="19"/>
        <v>40</v>
      </c>
      <c r="C71" s="21">
        <f t="shared" si="0"/>
        <v>0.69813170079773179</v>
      </c>
      <c r="D71" s="22">
        <f t="shared" si="20"/>
        <v>654.16746829693705</v>
      </c>
      <c r="E71" s="22">
        <f t="shared" si="1"/>
        <v>483.64131690952092</v>
      </c>
      <c r="F71" s="22">
        <f t="shared" si="2"/>
        <v>1346.7339121407313</v>
      </c>
      <c r="G71" s="22">
        <f t="shared" si="3"/>
        <v>1008.641051063321</v>
      </c>
      <c r="H71" s="22">
        <f t="shared" si="4"/>
        <v>2907.6562816899627</v>
      </c>
      <c r="I71" s="22">
        <f t="shared" si="5"/>
        <v>1041.7221066814786</v>
      </c>
      <c r="J71" s="34">
        <f t="shared" si="6"/>
        <v>790.50670256420528</v>
      </c>
      <c r="K71" s="118">
        <f t="shared" si="7"/>
        <v>388.1674682969371</v>
      </c>
      <c r="L71" s="118">
        <f t="shared" si="8"/>
        <v>688.64131690952092</v>
      </c>
      <c r="M71" s="23">
        <f t="shared" si="9"/>
        <v>29.493297435794716</v>
      </c>
      <c r="N71" s="23">
        <f t="shared" si="10"/>
        <v>9471.3383364093115</v>
      </c>
      <c r="O71" s="23">
        <f t="shared" si="11"/>
        <v>4650.7707164306084</v>
      </c>
      <c r="P71" s="23">
        <f t="shared" si="12"/>
        <v>8250.8533877368245</v>
      </c>
      <c r="Q71" s="91">
        <f t="shared" si="13"/>
        <v>-174.60927248400233</v>
      </c>
      <c r="R71" s="23">
        <f t="shared" si="14"/>
        <v>112.23667688909747</v>
      </c>
      <c r="S71" s="23">
        <f t="shared" si="15"/>
        <v>-133.75846290341747</v>
      </c>
      <c r="T71" s="89">
        <f t="shared" si="16"/>
        <v>-4763.0073933197064</v>
      </c>
      <c r="U71" s="89">
        <f t="shared" si="17"/>
        <v>-6155.0949248334073</v>
      </c>
      <c r="V71" s="95">
        <f t="shared" si="18"/>
        <v>7782.7651231762193</v>
      </c>
      <c r="W71" s="126"/>
      <c r="X71" s="116"/>
      <c r="Y71" s="127"/>
      <c r="Z71" s="120"/>
      <c r="AA71" s="120"/>
      <c r="AB71" s="120"/>
      <c r="AC71" s="120"/>
      <c r="AD71" s="122"/>
      <c r="AE71" s="123"/>
      <c r="AF71" s="123"/>
      <c r="AG71" s="124"/>
      <c r="AH71" s="123"/>
      <c r="AI71" s="123"/>
      <c r="AJ71" s="124"/>
    </row>
    <row r="72" spans="2:36" ht="14.1" customHeight="1" x14ac:dyDescent="0.2">
      <c r="B72" s="26">
        <f t="shared" si="19"/>
        <v>42.5</v>
      </c>
      <c r="C72" s="21">
        <f t="shared" si="0"/>
        <v>0.74176493209759009</v>
      </c>
      <c r="D72" s="22">
        <f t="shared" si="20"/>
        <v>632.4487078706037</v>
      </c>
      <c r="E72" s="22">
        <f>XAo*SIN(Alpha)+YAo*COS(Alpha)</f>
        <v>511.71538174340986</v>
      </c>
      <c r="F72" s="22">
        <f t="shared" si="2"/>
        <v>1301.4558151492647</v>
      </c>
      <c r="G72" s="22">
        <f t="shared" si="3"/>
        <v>1066.4247564709676</v>
      </c>
      <c r="H72" s="22">
        <f t="shared" si="4"/>
        <v>2859.4495570953013</v>
      </c>
      <c r="I72" s="22">
        <f t="shared" si="5"/>
        <v>1167.5608037389247</v>
      </c>
      <c r="J72" s="34">
        <f t="shared" si="6"/>
        <v>804.96310097273204</v>
      </c>
      <c r="K72" s="118">
        <f t="shared" si="7"/>
        <v>366.44870787060376</v>
      </c>
      <c r="L72" s="118">
        <f t="shared" si="8"/>
        <v>716.71538174340981</v>
      </c>
      <c r="M72" s="23">
        <f t="shared" si="9"/>
        <v>15.036899027267964</v>
      </c>
      <c r="N72" s="23">
        <f t="shared" si="10"/>
        <v>9338.3394710508655</v>
      </c>
      <c r="O72" s="23">
        <f t="shared" si="11"/>
        <v>4251.1544053241851</v>
      </c>
      <c r="P72" s="23">
        <f t="shared" si="12"/>
        <v>8314.5817873588403</v>
      </c>
      <c r="Q72" s="91">
        <f t="shared" si="13"/>
        <v>-182.84746261858899</v>
      </c>
      <c r="R72" s="23">
        <f t="shared" si="14"/>
        <v>123.52995523248921</v>
      </c>
      <c r="S72" s="23">
        <f t="shared" si="15"/>
        <v>-134.80929028192199</v>
      </c>
      <c r="T72" s="89">
        <f t="shared" si="16"/>
        <v>-4374.6843605566746</v>
      </c>
      <c r="U72" s="89">
        <f t="shared" si="17"/>
        <v>-6217.7724970769186</v>
      </c>
      <c r="V72" s="95">
        <f t="shared" si="18"/>
        <v>7602.5362925740319</v>
      </c>
      <c r="W72" s="126"/>
      <c r="X72" s="116"/>
      <c r="Y72" s="127"/>
      <c r="Z72" s="120"/>
      <c r="AA72" s="120"/>
      <c r="AB72" s="120"/>
      <c r="AC72" s="120"/>
      <c r="AD72" s="122"/>
      <c r="AE72" s="123"/>
      <c r="AF72" s="123"/>
      <c r="AG72" s="124"/>
      <c r="AH72" s="123"/>
      <c r="AI72" s="123"/>
      <c r="AJ72" s="124"/>
    </row>
    <row r="73" spans="2:36" ht="14.1" customHeight="1" thickBot="1" x14ac:dyDescent="0.25">
      <c r="B73" s="27">
        <f t="shared" si="19"/>
        <v>45</v>
      </c>
      <c r="C73" s="28">
        <f t="shared" si="0"/>
        <v>0.78539816339744828</v>
      </c>
      <c r="D73" s="29">
        <f t="shared" si="20"/>
        <v>609.526045382804</v>
      </c>
      <c r="E73" s="29">
        <f t="shared" si="1"/>
        <v>538.81536726414924</v>
      </c>
      <c r="F73" s="29">
        <f t="shared" si="2"/>
        <v>1253.7003230437488</v>
      </c>
      <c r="G73" s="29">
        <f t="shared" si="3"/>
        <v>1122.1784617430508</v>
      </c>
      <c r="H73" s="29">
        <f t="shared" si="4"/>
        <v>2805.799707748221</v>
      </c>
      <c r="I73" s="29">
        <f t="shared" si="5"/>
        <v>1291.1769824466355</v>
      </c>
      <c r="J73" s="31">
        <f t="shared" si="6"/>
        <v>819.311567375104</v>
      </c>
      <c r="K73" s="119">
        <f t="shared" si="7"/>
        <v>343.52604538280406</v>
      </c>
      <c r="L73" s="119">
        <f t="shared" si="8"/>
        <v>743.81536726414924</v>
      </c>
      <c r="M73" s="30">
        <f t="shared" si="9"/>
        <v>0.6884326248959951</v>
      </c>
      <c r="N73" s="31">
        <f t="shared" si="10"/>
        <v>9206.333580149043</v>
      </c>
      <c r="O73" s="31">
        <f t="shared" si="11"/>
        <v>3860.0887540204571</v>
      </c>
      <c r="P73" s="31">
        <f t="shared" si="12"/>
        <v>8358.0077051929475</v>
      </c>
      <c r="Q73" s="92">
        <f t="shared" si="13"/>
        <v>-191.50438741583784</v>
      </c>
      <c r="R73" s="31">
        <f t="shared" si="14"/>
        <v>135.41405096871466</v>
      </c>
      <c r="S73" s="31">
        <f t="shared" si="15"/>
        <v>-135.41405096871469</v>
      </c>
      <c r="T73" s="97">
        <f t="shared" si="16"/>
        <v>-3995.5028049891716</v>
      </c>
      <c r="U73" s="97">
        <f t="shared" si="17"/>
        <v>-6260.5936542242325</v>
      </c>
      <c r="V73" s="96">
        <f t="shared" si="18"/>
        <v>7426.9156160541552</v>
      </c>
      <c r="W73" s="126"/>
      <c r="X73" s="116"/>
      <c r="Y73" s="127"/>
      <c r="Z73" s="120"/>
      <c r="AA73" s="120"/>
      <c r="AB73" s="120"/>
      <c r="AC73" s="120"/>
      <c r="AD73" s="122"/>
      <c r="AE73" s="123"/>
      <c r="AF73" s="123"/>
      <c r="AG73" s="124"/>
      <c r="AH73" s="123"/>
      <c r="AI73" s="123"/>
      <c r="AJ73" s="124"/>
    </row>
    <row r="74" spans="2:36" ht="14.1" customHeight="1" x14ac:dyDescent="0.2">
      <c r="S74" s="82"/>
      <c r="T74" s="82"/>
      <c r="U74" s="82"/>
      <c r="V74" s="82"/>
      <c r="W74" s="82"/>
      <c r="X74" s="82"/>
      <c r="Y74" s="123"/>
      <c r="Z74" s="123"/>
      <c r="AA74" s="123"/>
      <c r="AB74" s="123"/>
      <c r="AC74" s="123"/>
      <c r="AD74" s="124"/>
      <c r="AE74" s="124"/>
    </row>
    <row r="75" spans="2:36" ht="14.1" customHeight="1" x14ac:dyDescent="0.2">
      <c r="B75" s="213" t="s">
        <v>55</v>
      </c>
      <c r="C75" s="213"/>
      <c r="Y75" s="124"/>
      <c r="Z75" s="124"/>
      <c r="AA75" s="124"/>
      <c r="AB75" s="124"/>
      <c r="AC75" s="124"/>
      <c r="AD75" s="124"/>
      <c r="AE75" s="124"/>
    </row>
    <row r="76" spans="2:36" ht="14.1" customHeight="1" x14ac:dyDescent="0.2">
      <c r="B76" s="214">
        <f>RADIANS(B78)</f>
        <v>0.78539816339744828</v>
      </c>
      <c r="C76" s="214"/>
      <c r="D76" s="74"/>
      <c r="E76" s="216" t="s">
        <v>57</v>
      </c>
      <c r="F76" s="216"/>
      <c r="Y76" s="124"/>
      <c r="Z76" s="124"/>
      <c r="AA76" s="124"/>
      <c r="AB76" s="124"/>
      <c r="AC76" s="124"/>
      <c r="AD76" s="124"/>
      <c r="AE76" s="124"/>
    </row>
    <row r="77" spans="2:36" ht="14.1" customHeight="1" x14ac:dyDescent="0.2">
      <c r="B77" s="215" t="s">
        <v>56</v>
      </c>
      <c r="C77" s="215"/>
      <c r="D77" s="6" t="s">
        <v>61</v>
      </c>
      <c r="E77" s="81">
        <v>0</v>
      </c>
      <c r="F77" s="81">
        <v>0</v>
      </c>
      <c r="Y77" s="124"/>
      <c r="Z77" s="124"/>
      <c r="AA77" s="124"/>
      <c r="AB77" s="124"/>
      <c r="AC77" s="124"/>
      <c r="AD77" s="124"/>
      <c r="AE77" s="124"/>
    </row>
    <row r="78" spans="2:36" ht="14.1" customHeight="1" x14ac:dyDescent="0.2">
      <c r="B78" s="210">
        <v>45</v>
      </c>
      <c r="C78" s="210"/>
      <c r="D78" s="6" t="s">
        <v>59</v>
      </c>
      <c r="E78" s="44">
        <f>B82*COS(AlphaMacro+RotationAetB)-C82*SIN(AlphaMacro+RotationAetB)</f>
        <v>609.526045382804</v>
      </c>
      <c r="F78" s="44">
        <f>B82*SIN(AlphaMacro+RotationAetB)+C82*COS(AlphaMacro+RotationAetB)</f>
        <v>538.81536726414924</v>
      </c>
    </row>
    <row r="79" spans="2:36" ht="14.1" customHeight="1" x14ac:dyDescent="0.2"/>
    <row r="80" spans="2:36" x14ac:dyDescent="0.2">
      <c r="B80" s="217" t="s">
        <v>45</v>
      </c>
      <c r="C80" s="212"/>
      <c r="E80" s="216" t="s">
        <v>58</v>
      </c>
      <c r="F80" s="216"/>
    </row>
    <row r="81" spans="2:6" x14ac:dyDescent="0.2">
      <c r="B81" s="81" t="s">
        <v>46</v>
      </c>
      <c r="C81" s="81" t="s">
        <v>47</v>
      </c>
      <c r="D81" s="6" t="s">
        <v>59</v>
      </c>
      <c r="E81" s="81">
        <f>E78</f>
        <v>609.526045382804</v>
      </c>
      <c r="F81" s="81">
        <f>F78</f>
        <v>538.81536726414924</v>
      </c>
    </row>
    <row r="82" spans="2:6" x14ac:dyDescent="0.2">
      <c r="B82" s="44">
        <f>XAo</f>
        <v>812</v>
      </c>
      <c r="C82" s="44">
        <f>YAo</f>
        <v>-50</v>
      </c>
      <c r="D82" s="6" t="s">
        <v>60</v>
      </c>
      <c r="E82" s="44">
        <f>NouvXB</f>
        <v>265.99999999999994</v>
      </c>
      <c r="F82" s="44">
        <f>NouvYB</f>
        <v>-204.99999999999997</v>
      </c>
    </row>
    <row r="83" spans="2:6" x14ac:dyDescent="0.2">
      <c r="B83" s="74"/>
      <c r="C83" s="74"/>
      <c r="D83" s="74"/>
      <c r="E83" s="74"/>
      <c r="F83" s="74"/>
    </row>
    <row r="84" spans="2:6" x14ac:dyDescent="0.2">
      <c r="B84" s="217" t="s">
        <v>49</v>
      </c>
      <c r="C84" s="212"/>
      <c r="D84" s="74"/>
      <c r="E84" s="216" t="s">
        <v>48</v>
      </c>
      <c r="F84" s="216"/>
    </row>
    <row r="85" spans="2:6" x14ac:dyDescent="0.2">
      <c r="B85" s="81" t="s">
        <v>50</v>
      </c>
      <c r="C85" s="81" t="s">
        <v>51</v>
      </c>
      <c r="D85" s="74"/>
      <c r="E85" s="81" t="s">
        <v>50</v>
      </c>
      <c r="F85" s="81" t="s">
        <v>51</v>
      </c>
    </row>
    <row r="86" spans="2:6" x14ac:dyDescent="0.2">
      <c r="B86" s="44">
        <f>XGo</f>
        <v>1680</v>
      </c>
      <c r="C86" s="44">
        <f>YGo</f>
        <v>-93</v>
      </c>
      <c r="D86" s="74"/>
      <c r="E86" s="44">
        <f>B86*COS(AlphaMacro)-C86*SIN(AlphaMacro)</f>
        <v>1253.7003230437488</v>
      </c>
      <c r="F86" s="44">
        <f>B86*SIN(AlphaMacro)+C86*COS(AlphaMacro)</f>
        <v>1122.1784617430508</v>
      </c>
    </row>
    <row r="87" spans="2:6" x14ac:dyDescent="0.2">
      <c r="B87" s="74"/>
      <c r="C87" s="74"/>
      <c r="D87" s="74"/>
      <c r="E87" s="74"/>
      <c r="F87" s="74"/>
    </row>
    <row r="88" spans="2:6" x14ac:dyDescent="0.2">
      <c r="B88" s="211" t="s">
        <v>96</v>
      </c>
      <c r="C88" s="212"/>
      <c r="D88" s="74"/>
      <c r="E88" s="211" t="s">
        <v>97</v>
      </c>
      <c r="F88" s="212"/>
    </row>
    <row r="89" spans="2:6" x14ac:dyDescent="0.2">
      <c r="B89" s="81" t="s">
        <v>52</v>
      </c>
      <c r="C89" s="81" t="s">
        <v>53</v>
      </c>
      <c r="D89" s="81" t="s">
        <v>54</v>
      </c>
      <c r="E89" s="81" t="s">
        <v>52</v>
      </c>
      <c r="F89" s="81" t="s">
        <v>53</v>
      </c>
    </row>
    <row r="90" spans="2:6" x14ac:dyDescent="0.2">
      <c r="B90" s="43">
        <v>2897</v>
      </c>
      <c r="C90" s="43">
        <v>-1071</v>
      </c>
      <c r="D90" s="40">
        <v>1</v>
      </c>
      <c r="E90" s="40">
        <f t="shared" ref="E90:E95" si="21">B90*COS(AlphaMacro)-C90*SIN(AlphaMacro)</f>
        <v>2805.799707748221</v>
      </c>
      <c r="F90" s="40">
        <f t="shared" ref="F90:F95" si="22">B90*SIN(AlphaMacro)+C90*COS(AlphaMacro)</f>
        <v>1291.1769824466355</v>
      </c>
    </row>
    <row r="91" spans="2:6" x14ac:dyDescent="0.2">
      <c r="B91" s="42">
        <v>1810</v>
      </c>
      <c r="C91" s="42">
        <v>0</v>
      </c>
      <c r="D91" s="42">
        <v>2</v>
      </c>
      <c r="E91" s="42">
        <f t="shared" si="21"/>
        <v>1279.8632739476511</v>
      </c>
      <c r="F91" s="42">
        <f t="shared" si="22"/>
        <v>1279.8632739476509</v>
      </c>
    </row>
    <row r="92" spans="2:6" x14ac:dyDescent="0.2">
      <c r="B92" s="42">
        <f>XAo</f>
        <v>812</v>
      </c>
      <c r="C92" s="42">
        <f>C91</f>
        <v>0</v>
      </c>
      <c r="D92" s="42">
        <v>3</v>
      </c>
      <c r="E92" s="42">
        <f t="shared" si="21"/>
        <v>574.17070632347668</v>
      </c>
      <c r="F92" s="42">
        <f t="shared" si="22"/>
        <v>574.17070632347657</v>
      </c>
    </row>
    <row r="93" spans="2:6" x14ac:dyDescent="0.2">
      <c r="B93" s="42">
        <v>0</v>
      </c>
      <c r="C93" s="42">
        <f>C91</f>
        <v>0</v>
      </c>
      <c r="D93" s="42">
        <v>4</v>
      </c>
      <c r="E93" s="42">
        <f t="shared" si="21"/>
        <v>0</v>
      </c>
      <c r="F93" s="42">
        <f t="shared" si="22"/>
        <v>0</v>
      </c>
    </row>
    <row r="94" spans="2:6" x14ac:dyDescent="0.2">
      <c r="B94" s="42">
        <f>B92</f>
        <v>812</v>
      </c>
      <c r="C94" s="42">
        <f>YAo</f>
        <v>-50</v>
      </c>
      <c r="D94" s="42">
        <v>5</v>
      </c>
      <c r="E94" s="42">
        <f t="shared" si="21"/>
        <v>609.526045382804</v>
      </c>
      <c r="F94" s="42">
        <f t="shared" si="22"/>
        <v>538.81536726414924</v>
      </c>
    </row>
    <row r="95" spans="2:6" x14ac:dyDescent="0.2">
      <c r="B95" s="41">
        <f>B92</f>
        <v>812</v>
      </c>
      <c r="C95" s="41">
        <f>C92</f>
        <v>0</v>
      </c>
      <c r="D95" s="41">
        <v>6</v>
      </c>
      <c r="E95" s="41">
        <f t="shared" si="21"/>
        <v>574.17070632347668</v>
      </c>
      <c r="F95" s="41">
        <f t="shared" si="22"/>
        <v>574.17070632347657</v>
      </c>
    </row>
    <row r="96" spans="2:6" x14ac:dyDescent="0.2">
      <c r="B96" s="74"/>
      <c r="C96" s="74"/>
      <c r="D96" s="74"/>
      <c r="E96" s="74"/>
      <c r="F96" s="74"/>
    </row>
    <row r="97" spans="2:6" x14ac:dyDescent="0.2">
      <c r="E97" s="74"/>
      <c r="F97" s="74"/>
    </row>
    <row r="98" spans="2:6" x14ac:dyDescent="0.2">
      <c r="D98" s="79"/>
      <c r="E98" s="74"/>
      <c r="F98" s="74"/>
    </row>
    <row r="99" spans="2:6" x14ac:dyDescent="0.2">
      <c r="E99" s="74"/>
      <c r="F99" s="74"/>
    </row>
    <row r="100" spans="2:6" x14ac:dyDescent="0.2">
      <c r="B100" s="74"/>
      <c r="C100" s="74"/>
    </row>
    <row r="101" spans="2:6" x14ac:dyDescent="0.2">
      <c r="B101" s="74"/>
      <c r="C101" s="74"/>
    </row>
    <row r="102" spans="2:6" x14ac:dyDescent="0.2">
      <c r="B102" s="74"/>
      <c r="C102" s="74"/>
    </row>
    <row r="103" spans="2:6" x14ac:dyDescent="0.2">
      <c r="B103" s="74"/>
      <c r="C103" s="74"/>
    </row>
    <row r="104" spans="2:6" x14ac:dyDescent="0.2">
      <c r="B104" s="74"/>
      <c r="C104" s="74"/>
    </row>
  </sheetData>
  <dataConsolidate/>
  <mergeCells count="68">
    <mergeCell ref="B3:D3"/>
    <mergeCell ref="K52:L52"/>
    <mergeCell ref="P46:R46"/>
    <mergeCell ref="P47:R47"/>
    <mergeCell ref="P48:R48"/>
    <mergeCell ref="Q52:Q53"/>
    <mergeCell ref="R52:R53"/>
    <mergeCell ref="M52:M53"/>
    <mergeCell ref="B88:C88"/>
    <mergeCell ref="E88:F88"/>
    <mergeCell ref="B75:C75"/>
    <mergeCell ref="B76:C76"/>
    <mergeCell ref="B77:C77"/>
    <mergeCell ref="E80:F80"/>
    <mergeCell ref="B80:C80"/>
    <mergeCell ref="E76:F76"/>
    <mergeCell ref="B84:C84"/>
    <mergeCell ref="E84:F84"/>
    <mergeCell ref="B52:B53"/>
    <mergeCell ref="C52:C53"/>
    <mergeCell ref="B78:C78"/>
    <mergeCell ref="D52:D53"/>
    <mergeCell ref="B40:C41"/>
    <mergeCell ref="B4:C4"/>
    <mergeCell ref="B13:C13"/>
    <mergeCell ref="B7:C7"/>
    <mergeCell ref="B16:C16"/>
    <mergeCell ref="B22:C22"/>
    <mergeCell ref="B10:C10"/>
    <mergeCell ref="J38:L39"/>
    <mergeCell ref="E47:F47"/>
    <mergeCell ref="E41:F41"/>
    <mergeCell ref="E42:F42"/>
    <mergeCell ref="E46:F46"/>
    <mergeCell ref="E43:F43"/>
    <mergeCell ref="K47:M47"/>
    <mergeCell ref="E34:E36"/>
    <mergeCell ref="E44:F44"/>
    <mergeCell ref="J34:L35"/>
    <mergeCell ref="B17:C17"/>
    <mergeCell ref="B23:C23"/>
    <mergeCell ref="B18:C18"/>
    <mergeCell ref="B31:C32"/>
    <mergeCell ref="B33:C34"/>
    <mergeCell ref="B38:C39"/>
    <mergeCell ref="B21:C21"/>
    <mergeCell ref="B20:C20"/>
    <mergeCell ref="B19:C19"/>
    <mergeCell ref="B35:C37"/>
    <mergeCell ref="B29:C29"/>
    <mergeCell ref="B30:C30"/>
    <mergeCell ref="E40:I40"/>
    <mergeCell ref="S52:S53"/>
    <mergeCell ref="T52:T53"/>
    <mergeCell ref="U52:U53"/>
    <mergeCell ref="V52:V53"/>
    <mergeCell ref="E45:F45"/>
    <mergeCell ref="H52:H53"/>
    <mergeCell ref="I52:I53"/>
    <mergeCell ref="E48:F48"/>
    <mergeCell ref="O52:O53"/>
    <mergeCell ref="P52:P53"/>
    <mergeCell ref="N52:N53"/>
    <mergeCell ref="E49:F49"/>
    <mergeCell ref="J52:J53"/>
    <mergeCell ref="E52:E53"/>
    <mergeCell ref="F52:F53"/>
    <mergeCell ref="G52:G53"/>
  </mergeCells>
  <phoneticPr fontId="3" type="noConversion"/>
  <conditionalFormatting sqref="B35">
    <cfRule type="expression" dxfId="9" priority="3" stopIfTrue="1">
      <formula>Lb+GardesAvAr&gt;ABmini</formula>
    </cfRule>
    <cfRule type="expression" dxfId="8" priority="4" stopIfTrue="1">
      <formula>CourseMaxi&gt;Lo-Lb-2*GardeAvAr</formula>
    </cfRule>
    <cfRule type="expression" dxfId="7" priority="5" stopIfTrue="1">
      <formula>Lo-GardesAvAr&lt;ABmaxi</formula>
    </cfRule>
  </conditionalFormatting>
  <conditionalFormatting sqref="B33">
    <cfRule type="cellIs" dxfId="6" priority="6" stopIfTrue="1" operator="notEqual">
      <formula>""</formula>
    </cfRule>
  </conditionalFormatting>
  <conditionalFormatting sqref="G45">
    <cfRule type="expression" dxfId="5" priority="9" stopIfTrue="1">
      <formula>Lo+GardesAvAr&lt;ABmaxi</formula>
    </cfRule>
  </conditionalFormatting>
  <conditionalFormatting sqref="G44 C28">
    <cfRule type="expression" dxfId="4" priority="10" stopIfTrue="1">
      <formula>Lb+GardesAvAr&gt;ABmini</formula>
    </cfRule>
  </conditionalFormatting>
  <conditionalFormatting sqref="C26">
    <cfRule type="expression" dxfId="3" priority="11" stopIfTrue="1">
      <formula>Lo-GardesAvAr&lt;ABmaxi</formula>
    </cfRule>
  </conditionalFormatting>
  <conditionalFormatting sqref="B38:C39">
    <cfRule type="cellIs" dxfId="2" priority="12" stopIfTrue="1" operator="notEqual">
      <formula>""</formula>
    </cfRule>
  </conditionalFormatting>
  <conditionalFormatting sqref="B40:C41">
    <cfRule type="cellIs" dxfId="1" priority="2" stopIfTrue="1" operator="notEqual">
      <formula>""</formula>
    </cfRule>
  </conditionalFormatting>
  <conditionalFormatting sqref="G48">
    <cfRule type="expression" dxfId="0" priority="1" stopIfTrue="1">
      <formula>Lo+GardesAvAr&lt;ABmaxi</formula>
    </cfRule>
  </conditionalFormatting>
  <hyperlinks>
    <hyperlink ref="B3" r:id="rId1"/>
  </hyperlinks>
  <pageMargins left="0.78740157499999996" right="0.78740157499999996" top="0.984251969" bottom="0.984251969" header="0.4921259845" footer="0.4921259845"/>
  <pageSetup paperSize="9" orientation="portrait" horizontalDpi="0" verticalDpi="0" r:id="rId2"/>
  <headerFooter alignWithMargins="0"/>
  <drawing r:id="rId3"/>
  <legacyDrawing r:id="rId4"/>
  <controls>
    <mc:AlternateContent xmlns:mc="http://schemas.openxmlformats.org/markup-compatibility/2006">
      <mc:Choice Requires="x14">
        <control shapeId="1038" r:id="rId5" name="ScrollBar1">
          <controlPr defaultSize="0" autoLine="0" linkedCell="AlphaMacroDegrés" r:id="rId6">
            <anchor moveWithCells="1">
              <from>
                <xdr:col>10</xdr:col>
                <xdr:colOff>180975</xdr:colOff>
                <xdr:row>35</xdr:row>
                <xdr:rowOff>9525</xdr:rowOff>
              </from>
              <to>
                <xdr:col>11</xdr:col>
                <xdr:colOff>933450</xdr:colOff>
                <xdr:row>36</xdr:row>
                <xdr:rowOff>38100</xdr:rowOff>
              </to>
            </anchor>
          </controlPr>
        </control>
      </mc:Choice>
      <mc:Fallback>
        <control shapeId="1038" r:id="rId5" name="ScrollBar1"/>
      </mc:Fallback>
    </mc:AlternateContent>
    <mc:AlternateContent xmlns:mc="http://schemas.openxmlformats.org/markup-compatibility/2006">
      <mc:Choice Requires="x14">
        <control shapeId="1040" r:id="rId7" name="ScrollBar2">
          <controlPr defaultSize="0" autoLine="0" linkedCell="Rotation" r:id="rId8">
            <anchor moveWithCells="1">
              <from>
                <xdr:col>10</xdr:col>
                <xdr:colOff>180975</xdr:colOff>
                <xdr:row>38</xdr:row>
                <xdr:rowOff>161925</xdr:rowOff>
              </from>
              <to>
                <xdr:col>11</xdr:col>
                <xdr:colOff>933450</xdr:colOff>
                <xdr:row>40</xdr:row>
                <xdr:rowOff>19050</xdr:rowOff>
              </to>
            </anchor>
          </controlPr>
        </control>
      </mc:Choice>
      <mc:Fallback>
        <control shapeId="1040" r:id="rId7" name="ScrollBar2"/>
      </mc:Fallback>
    </mc:AlternateContent>
    <mc:AlternateContent xmlns:mc="http://schemas.openxmlformats.org/markup-compatibility/2006">
      <mc:Choice Requires="x14">
        <control shapeId="1042" r:id="rId9" name="CommandButton1">
          <controlPr defaultSize="0" autoLine="0" r:id="rId10">
            <anchor moveWithCells="1">
              <from>
                <xdr:col>12</xdr:col>
                <xdr:colOff>800100</xdr:colOff>
                <xdr:row>36</xdr:row>
                <xdr:rowOff>0</xdr:rowOff>
              </from>
              <to>
                <xdr:col>14</xdr:col>
                <xdr:colOff>657225</xdr:colOff>
                <xdr:row>37</xdr:row>
                <xdr:rowOff>161925</xdr:rowOff>
              </to>
            </anchor>
          </controlPr>
        </control>
      </mc:Choice>
      <mc:Fallback>
        <control shapeId="1042" r:id="rId9" name="CommandButton1"/>
      </mc:Fallback>
    </mc:AlternateContent>
    <mc:AlternateContent xmlns:mc="http://schemas.openxmlformats.org/markup-compatibility/2006">
      <mc:Choice Requires="x14">
        <control shapeId="1047" r:id="rId11" name="TextBox1">
          <controlPr defaultSize="0" autoLine="0" linkedCell="RotationSym" r:id="rId12">
            <anchor moveWithCells="1">
              <from>
                <xdr:col>11</xdr:col>
                <xdr:colOff>409575</xdr:colOff>
                <xdr:row>37</xdr:row>
                <xdr:rowOff>66675</xdr:rowOff>
              </from>
              <to>
                <xdr:col>11</xdr:col>
                <xdr:colOff>942975</xdr:colOff>
                <xdr:row>38</xdr:row>
                <xdr:rowOff>142875</xdr:rowOff>
              </to>
            </anchor>
          </controlPr>
        </control>
      </mc:Choice>
      <mc:Fallback>
        <control shapeId="1047" r:id="rId11" name="TextBox1"/>
      </mc:Fallback>
    </mc:AlternateContent>
    <mc:AlternateContent xmlns:mc="http://schemas.openxmlformats.org/markup-compatibility/2006">
      <mc:Choice Requires="x14">
        <control shapeId="1054" r:id="rId13" name="CommandButton2">
          <controlPr defaultSize="0" autoLine="0" r:id="rId14">
            <anchor moveWithCells="1">
              <from>
                <xdr:col>12</xdr:col>
                <xdr:colOff>800100</xdr:colOff>
                <xdr:row>38</xdr:row>
                <xdr:rowOff>38100</xdr:rowOff>
              </from>
              <to>
                <xdr:col>14</xdr:col>
                <xdr:colOff>657225</xdr:colOff>
                <xdr:row>40</xdr:row>
                <xdr:rowOff>28575</xdr:rowOff>
              </to>
            </anchor>
          </controlPr>
        </control>
      </mc:Choice>
      <mc:Fallback>
        <control shapeId="1054" r:id="rId13" name="CommandButton2"/>
      </mc:Fallback>
    </mc:AlternateContent>
    <mc:AlternateContent xmlns:mc="http://schemas.openxmlformats.org/markup-compatibility/2006">
      <mc:Choice Requires="x14">
        <control shapeId="1057" r:id="rId15" name="TextBox2">
          <controlPr defaultSize="0" autoLine="0" linkedCell="AlphaMacroDegrés" r:id="rId16">
            <anchor moveWithCells="1">
              <from>
                <xdr:col>11</xdr:col>
                <xdr:colOff>409575</xdr:colOff>
                <xdr:row>33</xdr:row>
                <xdr:rowOff>66675</xdr:rowOff>
              </from>
              <to>
                <xdr:col>11</xdr:col>
                <xdr:colOff>942975</xdr:colOff>
                <xdr:row>34</xdr:row>
                <xdr:rowOff>142875</xdr:rowOff>
              </to>
            </anchor>
          </controlPr>
        </control>
      </mc:Choice>
      <mc:Fallback>
        <control shapeId="1057" r:id="rId15" name="TextBox2"/>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
  <sheetViews>
    <sheetView showGridLines="0" zoomScaleNormal="100" workbookViewId="0">
      <selection activeCell="L19" sqref="L19"/>
    </sheetView>
  </sheetViews>
  <sheetFormatPr baseColWidth="10" defaultRowHeight="12.75" x14ac:dyDescent="0.2"/>
  <sheetData/>
  <sheetProtection sheet="1" objects="1" scenarios="1" selectLockedCells="1" selectUnlockedCells="1"/>
  <phoneticPr fontId="3" type="noConversion"/>
  <pageMargins left="0.78740157499999996" right="0.78740157499999996" top="0.984251969" bottom="0.984251969" header="0.4921259845" footer="0.4921259845"/>
  <pageSetup paperSize="9" orientation="portrait" horizontalDpi="0"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60</vt:i4>
      </vt:variant>
    </vt:vector>
  </HeadingPairs>
  <TitlesOfParts>
    <vt:vector size="63" baseType="lpstr">
      <vt:lpstr>Accueil</vt:lpstr>
      <vt:lpstr>Calculs (ressort poussant)</vt:lpstr>
      <vt:lpstr>Croquis</vt:lpstr>
      <vt:lpstr>AB</vt:lpstr>
      <vt:lpstr>ABàZéro</vt:lpstr>
      <vt:lpstr>ABmaxi</vt:lpstr>
      <vt:lpstr>ABmini</vt:lpstr>
      <vt:lpstr>Alerte1</vt:lpstr>
      <vt:lpstr>Alerte3</vt:lpstr>
      <vt:lpstr>Alerte4</vt:lpstr>
      <vt:lpstr>Alpha</vt:lpstr>
      <vt:lpstr>AlphaDegrés</vt:lpstr>
      <vt:lpstr>AlphaMacro</vt:lpstr>
      <vt:lpstr>AlphaMacroDegrés</vt:lpstr>
      <vt:lpstr>AlphaMaxDegrés</vt:lpstr>
      <vt:lpstr>Course</vt:lpstr>
      <vt:lpstr>CourseMaxi</vt:lpstr>
      <vt:lpstr>Fb</vt:lpstr>
      <vt:lpstr>Fm</vt:lpstr>
      <vt:lpstr>Fmx</vt:lpstr>
      <vt:lpstr>Fmy</vt:lpstr>
      <vt:lpstr>Fo</vt:lpstr>
      <vt:lpstr>Fressort</vt:lpstr>
      <vt:lpstr>Frx</vt:lpstr>
      <vt:lpstr>Fry</vt:lpstr>
      <vt:lpstr>GardesAvAr</vt:lpstr>
      <vt:lpstr>K</vt:lpstr>
      <vt:lpstr>Lb</vt:lpstr>
      <vt:lpstr>Lo</vt:lpstr>
      <vt:lpstr>MasseCapot</vt:lpstr>
      <vt:lpstr>ModOx</vt:lpstr>
      <vt:lpstr>NbRess</vt:lpstr>
      <vt:lpstr>NouvXAo</vt:lpstr>
      <vt:lpstr>NouvXB</vt:lpstr>
      <vt:lpstr>NouvYAo</vt:lpstr>
      <vt:lpstr>NouvYB</vt:lpstr>
      <vt:lpstr>OA</vt:lpstr>
      <vt:lpstr>OC</vt:lpstr>
      <vt:lpstr>OG</vt:lpstr>
      <vt:lpstr>Précourse</vt:lpstr>
      <vt:lpstr>Rotation</vt:lpstr>
      <vt:lpstr>RotationAetB</vt:lpstr>
      <vt:lpstr>RotationSym</vt:lpstr>
      <vt:lpstr>Rox</vt:lpstr>
      <vt:lpstr>Roy</vt:lpstr>
      <vt:lpstr>XA</vt:lpstr>
      <vt:lpstr>XAo</vt:lpstr>
      <vt:lpstr>XB</vt:lpstr>
      <vt:lpstr>xBA</vt:lpstr>
      <vt:lpstr>Xc</vt:lpstr>
      <vt:lpstr>Xco</vt:lpstr>
      <vt:lpstr>XG</vt:lpstr>
      <vt:lpstr>XGo</vt:lpstr>
      <vt:lpstr>xOx</vt:lpstr>
      <vt:lpstr>YA</vt:lpstr>
      <vt:lpstr>YAo</vt:lpstr>
      <vt:lpstr>YB</vt:lpstr>
      <vt:lpstr>yBA</vt:lpstr>
      <vt:lpstr>Yc</vt:lpstr>
      <vt:lpstr>YCo</vt:lpstr>
      <vt:lpstr>YG</vt:lpstr>
      <vt:lpstr>YGo</vt:lpstr>
      <vt:lpstr>yOx</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proprietaire</dc:creator>
  <cp:lastModifiedBy>René Maingonnat</cp:lastModifiedBy>
  <cp:lastPrinted>2007-07-04T18:39:09Z</cp:lastPrinted>
  <dcterms:created xsi:type="dcterms:W3CDTF">2007-07-04T14:35:38Z</dcterms:created>
  <dcterms:modified xsi:type="dcterms:W3CDTF">2011-10-21T14:18:17Z</dcterms:modified>
</cp:coreProperties>
</file>